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542725A3-B799-4595-B524-D28E8196FC4D}" xr6:coauthVersionLast="44" xr6:coauthVersionMax="44" xr10:uidLastSave="{00000000-0000-0000-0000-000000000000}"/>
  <bookViews>
    <workbookView xWindow="28680" yWindow="-120" windowWidth="29040" windowHeight="15840" tabRatio="579" activeTab="1" xr2:uid="{00000000-000D-0000-FFFF-FFFF00000000}"/>
  </bookViews>
  <sheets>
    <sheet name="2019" sheetId="11" r:id="rId1"/>
    <sheet name="DATA" sheetId="12" r:id="rId2"/>
  </sheets>
  <definedNames>
    <definedName name="_xlnm._FilterDatabase" localSheetId="0" hidden="1">'2019'!$A$2:$V$5</definedName>
    <definedName name="AGI">DATA!$F$11:$H$22</definedName>
    <definedName name="DV">DATA!$B$6</definedName>
    <definedName name="GV_Dilimleri">DATA!$A$11:$D$15</definedName>
    <definedName name="Issizlik">DATA!$B$5</definedName>
    <definedName name="SGK">DATA!$B$1</definedName>
    <definedName name="SGK_emk">DATA!$B$2</definedName>
    <definedName name="SGK_tv">DATA!$B$4</definedName>
    <definedName name="SGK_tv_16">DATA!#REF!</definedName>
    <definedName name="SGK_tv_old">DATA!$B$3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1" l="1"/>
  <c r="H7" i="11" s="1"/>
  <c r="F3" i="11" l="1"/>
  <c r="T16" i="11" l="1"/>
  <c r="T15" i="11"/>
  <c r="T14" i="11"/>
  <c r="T13" i="11"/>
  <c r="T12" i="11"/>
  <c r="T11" i="11"/>
  <c r="T10" i="11"/>
  <c r="T9" i="11"/>
  <c r="T8" i="11"/>
  <c r="T7" i="11"/>
  <c r="T6" i="11"/>
  <c r="T5" i="11"/>
  <c r="B3" i="12" l="1"/>
  <c r="H3" i="11" s="1"/>
  <c r="B7" i="12" l="1"/>
  <c r="U16" i="11" l="1"/>
  <c r="U7" i="11"/>
  <c r="U8" i="11"/>
  <c r="U9" i="11"/>
  <c r="U10" i="11"/>
  <c r="U11" i="11"/>
  <c r="U12" i="11"/>
  <c r="U13" i="11"/>
  <c r="U14" i="11"/>
  <c r="U15" i="11"/>
  <c r="U6" i="11"/>
  <c r="U5" i="11"/>
  <c r="G3" i="11" l="1"/>
  <c r="F4" i="11"/>
  <c r="I4" i="11" s="1"/>
  <c r="F6" i="11"/>
  <c r="H6" i="11" s="1"/>
  <c r="I7" i="11" s="1"/>
  <c r="F8" i="11"/>
  <c r="F9" i="11"/>
  <c r="H9" i="11" s="1"/>
  <c r="I10" i="11" s="1"/>
  <c r="F10" i="11"/>
  <c r="H10" i="11" s="1"/>
  <c r="F11" i="11"/>
  <c r="H11" i="11" s="1"/>
  <c r="F12" i="11"/>
  <c r="H12" i="11" s="1"/>
  <c r="I13" i="11" s="1"/>
  <c r="F13" i="11"/>
  <c r="H13" i="11" s="1"/>
  <c r="F14" i="11"/>
  <c r="H14" i="11" s="1"/>
  <c r="F15" i="11"/>
  <c r="H15" i="11" s="1"/>
  <c r="I16" i="11" s="1"/>
  <c r="F16" i="11"/>
  <c r="H16" i="11" s="1"/>
  <c r="F5" i="11"/>
  <c r="H5" i="11" s="1"/>
  <c r="I11" i="11" l="1"/>
  <c r="G12" i="11" s="1"/>
  <c r="I15" i="11"/>
  <c r="I14" i="11"/>
  <c r="G15" i="11" s="1"/>
  <c r="I12" i="11"/>
  <c r="H8" i="11"/>
  <c r="I9" i="11" s="1"/>
  <c r="I8" i="11"/>
  <c r="G9" i="11" s="1"/>
  <c r="I6" i="11"/>
  <c r="G7" i="11" s="1"/>
  <c r="H4" i="11"/>
  <c r="I5" i="11" s="1"/>
  <c r="G6" i="11" s="1"/>
  <c r="G5" i="11"/>
  <c r="G14" i="11"/>
  <c r="G11" i="11"/>
  <c r="G4" i="11"/>
  <c r="G13" i="11"/>
  <c r="G10" i="11"/>
  <c r="G16" i="11"/>
  <c r="G8" i="11"/>
  <c r="M5" i="11"/>
  <c r="M6" i="11" s="1"/>
  <c r="S13" i="11"/>
  <c r="S14" i="11"/>
  <c r="S15" i="11"/>
  <c r="S16" i="11"/>
  <c r="S9" i="11"/>
  <c r="S10" i="11"/>
  <c r="S11" i="11"/>
  <c r="S12" i="11"/>
  <c r="S7" i="11"/>
  <c r="S8" i="11"/>
  <c r="J5" i="11" l="1"/>
  <c r="J6" i="11"/>
  <c r="M7" i="11"/>
  <c r="K7" i="11"/>
  <c r="K6" i="11" l="1"/>
  <c r="K5" i="11"/>
  <c r="N5" i="11" s="1"/>
  <c r="K9" i="11"/>
  <c r="K8" i="11"/>
  <c r="M8" i="11"/>
  <c r="J9" i="11"/>
  <c r="J7" i="11"/>
  <c r="N7" i="11" s="1"/>
  <c r="S6" i="11"/>
  <c r="N6" i="11" l="1"/>
  <c r="K11" i="11"/>
  <c r="M9" i="11"/>
  <c r="N9" i="11" s="1"/>
  <c r="J10" i="11"/>
  <c r="K10" i="11"/>
  <c r="J11" i="11"/>
  <c r="J8" i="11"/>
  <c r="N8" i="11" s="1"/>
  <c r="M10" i="11" l="1"/>
  <c r="N10" i="11" s="1"/>
  <c r="S5" i="11"/>
  <c r="K13" i="11" l="1"/>
  <c r="M11" i="11"/>
  <c r="M12" i="11" s="1"/>
  <c r="J12" i="11"/>
  <c r="K12" i="11"/>
  <c r="J13" i="11"/>
  <c r="O5" i="11"/>
  <c r="O6" i="11" s="1"/>
  <c r="N12" i="11" l="1"/>
  <c r="N11" i="11"/>
  <c r="M13" i="11"/>
  <c r="P5" i="11"/>
  <c r="K15" i="11" l="1"/>
  <c r="M14" i="11"/>
  <c r="M15" i="11" s="1"/>
  <c r="M16" i="11" s="1"/>
  <c r="N13" i="11"/>
  <c r="J14" i="11"/>
  <c r="K14" i="11"/>
  <c r="J15" i="11"/>
  <c r="Q5" i="11"/>
  <c r="V5" i="11" s="1"/>
  <c r="P6" i="11"/>
  <c r="R5" i="11" l="1"/>
  <c r="Q6" i="11" s="1"/>
  <c r="V6" i="11" s="1"/>
  <c r="N14" i="11"/>
  <c r="N15" i="11"/>
  <c r="O7" i="11"/>
  <c r="J16" i="11" l="1"/>
  <c r="K16" i="11"/>
  <c r="P7" i="11"/>
  <c r="O8" i="11"/>
  <c r="R6" i="11" l="1"/>
  <c r="Q7" i="11" s="1"/>
  <c r="V7" i="11" s="1"/>
  <c r="N16" i="11"/>
  <c r="P8" i="11"/>
  <c r="O9" i="11"/>
  <c r="R7" i="11" l="1"/>
  <c r="Q8" i="11" s="1"/>
  <c r="V8" i="11" s="1"/>
  <c r="P9" i="11"/>
  <c r="O10" i="11"/>
  <c r="R8" i="11" l="1"/>
  <c r="Q9" i="11" s="1"/>
  <c r="V9" i="11" s="1"/>
  <c r="P10" i="11"/>
  <c r="O11" i="11"/>
  <c r="R9" i="11" l="1"/>
  <c r="Q10" i="11" s="1"/>
  <c r="V10" i="11" s="1"/>
  <c r="P11" i="11"/>
  <c r="O12" i="11"/>
  <c r="R10" i="11" l="1"/>
  <c r="Q11" i="11" s="1"/>
  <c r="V11" i="11" s="1"/>
  <c r="P12" i="11"/>
  <c r="O13" i="11"/>
  <c r="R11" i="11" l="1"/>
  <c r="Q12" i="11" s="1"/>
  <c r="V12" i="11" s="1"/>
  <c r="P13" i="11"/>
  <c r="O14" i="11"/>
  <c r="R12" i="11" l="1"/>
  <c r="P14" i="11"/>
  <c r="Q13" i="11"/>
  <c r="V13" i="11" s="1"/>
  <c r="O15" i="11"/>
  <c r="R13" i="11" l="1"/>
  <c r="P15" i="11"/>
  <c r="O16" i="11"/>
  <c r="Q14" i="11" l="1"/>
  <c r="P16" i="11"/>
  <c r="R14" i="11" l="1"/>
  <c r="Q15" i="11" s="1"/>
  <c r="V14" i="11"/>
  <c r="R15" i="11" l="1"/>
  <c r="Q16" i="11" s="1"/>
  <c r="V15" i="11"/>
  <c r="R16" i="11" l="1"/>
  <c r="V16" i="11"/>
  <c r="V17" i="11" s="1"/>
  <c r="V1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B2" authorId="0" shapeId="0" xr:uid="{1E08EAC4-71EA-4AEE-98B5-0B680C8FA7C4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İptal edilmediği sürece SGK Matrahının %3 oranında zorunlu BES kesintisi uygulanır.</t>
        </r>
        <r>
          <rPr>
            <sz val="9"/>
            <color indexed="81"/>
            <rFont val="Tahoma"/>
            <charset val="1"/>
          </rPr>
          <t xml:space="preserve">
E - Zorunlu BES var
H- Zorunlu BES yok</t>
        </r>
      </text>
    </commen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0 AGI YOK
1 Bekar
2 Evli, eşi çalışmıyor
3 Evli, eşi çalışmıyor, 1 çocuklu
4 Evli, eşi çalışmıyor, 2 çocuklu
5 Evli, eşi çalışmıyor, 3 ve üzeri çocuklu
6 Evli, eşi çalışıyor
7 Evli, eşi çalışıyor, 1 çocuklu
8 Evli, eşi çalışıyor, 2 çocuklu
9 Evli, eşi çalışıyor, 3 çocuklu
10 Evli, eşi çalışıyor, 4 çocuklu
11 Evli, eşi çalışıyor, 5 çocuklu</t>
        </r>
      </text>
    </comment>
    <comment ref="L2" authorId="0" shapeId="0" xr:uid="{1D004769-733B-4D21-8C98-13C23D0B84F4}">
      <text>
        <r>
          <rPr>
            <b/>
            <sz val="9"/>
            <color indexed="81"/>
            <rFont val="Tahoma"/>
            <charset val="1"/>
          </rPr>
          <t>Yazar:</t>
        </r>
        <r>
          <rPr>
            <sz val="9"/>
            <color indexed="81"/>
            <rFont val="Tahoma"/>
            <charset val="1"/>
          </rPr>
          <t xml:space="preserve">
Özel Sağlık Sigortalarınız ve Hayat Sigortalarınız</t>
        </r>
      </text>
    </comment>
  </commentList>
</comments>
</file>

<file path=xl/sharedStrings.xml><?xml version="1.0" encoding="utf-8"?>
<sst xmlns="http://schemas.openxmlformats.org/spreadsheetml/2006/main" count="77" uniqueCount="59">
  <si>
    <t>SGK</t>
  </si>
  <si>
    <t>İşsizlik</t>
  </si>
  <si>
    <t>Damga</t>
  </si>
  <si>
    <t>AGİ</t>
  </si>
  <si>
    <t>Vergi</t>
  </si>
  <si>
    <t>Alt</t>
  </si>
  <si>
    <t>ÜST</t>
  </si>
  <si>
    <t>Aylık Net</t>
  </si>
  <si>
    <t>SGK Tavan</t>
  </si>
  <si>
    <t>Vergi Matr.</t>
  </si>
  <si>
    <t>BRÜT Maaş</t>
  </si>
  <si>
    <t>SGK_emekli</t>
  </si>
  <si>
    <t>AGI sınıfı</t>
  </si>
  <si>
    <t>Bekar</t>
  </si>
  <si>
    <t>Evli, eşi çalışmıyor</t>
  </si>
  <si>
    <t>Evli, eşi çalışmıyor, 1 çocuklu</t>
  </si>
  <si>
    <t>Evli, eşi çalışmıyor, 2 çocuklu</t>
  </si>
  <si>
    <t>Evli, eşi çalışıyor</t>
  </si>
  <si>
    <t>Evli, eşi çalışıyor, 1 çocuklu</t>
  </si>
  <si>
    <t>Evli, eşi çalışıyor, 2 çocuklu</t>
  </si>
  <si>
    <t>Evli, eşi çalışıyor, 3 çocuklu</t>
  </si>
  <si>
    <t>Evli, eşi çalışıyor, 4 çocuklu</t>
  </si>
  <si>
    <t>Evli, eşi çalışıyor, 5 çocuklu</t>
  </si>
  <si>
    <t>Evli, eşi çalışmıyor, 3 ve üzeri çocuklu</t>
  </si>
  <si>
    <t>No:</t>
  </si>
  <si>
    <t>Tanım</t>
  </si>
  <si>
    <t>AGI YOK</t>
  </si>
  <si>
    <t>Tarih</t>
  </si>
  <si>
    <t>Vergi Matr. T</t>
  </si>
  <si>
    <t>BRÜT 
Prim</t>
  </si>
  <si>
    <t>BRÜT 
Toplam</t>
  </si>
  <si>
    <t>Vergi dilimi</t>
  </si>
  <si>
    <t>Ödenen Vergi</t>
  </si>
  <si>
    <t>SGK artan2</t>
  </si>
  <si>
    <t>SGK artan1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</si>
  <si>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</si>
  <si>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</si>
  <si>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</si>
  <si>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</si>
  <si>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</si>
  <si>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</si>
  <si>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</si>
  <si>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</si>
  <si>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</si>
  <si>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</si>
  <si>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</si>
  <si>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</si>
  <si>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B. Yıl. Asgari</t>
  </si>
  <si>
    <t>Sigorta
Matrah</t>
  </si>
  <si>
    <t>TOPLAM</t>
  </si>
  <si>
    <t>Aylık Ort</t>
  </si>
  <si>
    <t>Bireysel
Sigorta</t>
  </si>
  <si>
    <t>GV Dilimleri 2019</t>
  </si>
  <si>
    <t>2019 için</t>
  </si>
  <si>
    <t>SGK Tavan_eski</t>
  </si>
  <si>
    <t>2018 için</t>
  </si>
  <si>
    <t>Zorunlu
BES</t>
  </si>
  <si>
    <t>H</t>
  </si>
  <si>
    <t>BRÜT SGK Matrahı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</si>
</sst>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\ &quot;₺&quot;;[Red]\-#,##0\ &quot;₺&quot;"/>
    <numFmt numFmtId="165" formatCode="#,##0.00\ &quot;₺&quot;;[Red]\-#,##0.00\ &quot;₺&quot;"/>
    <numFmt numFmtId="166" formatCode="0.000%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3" applyFont="1" applyBorder="1" applyAlignment="1">
      <alignment horizontal="center"/>
    </xf>
    <xf numFmtId="166" fontId="0" fillId="0" borderId="0" xfId="3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4" xfId="3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167" fontId="0" fillId="0" borderId="0" xfId="3" applyNumberFormat="1" applyFont="1" applyBorder="1" applyAlignment="1">
      <alignment horizontal="center"/>
    </xf>
    <xf numFmtId="0" fontId="0" fillId="0" borderId="4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wrapText="1" shrinkToFit="1"/>
    </xf>
    <xf numFmtId="167" fontId="0" fillId="0" borderId="6" xfId="3" applyNumberFormat="1" applyFont="1" applyFill="1" applyBorder="1" applyAlignment="1">
      <alignment horizontal="center"/>
    </xf>
    <xf numFmtId="167" fontId="0" fillId="0" borderId="0" xfId="3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6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 applyAlignment="1">
      <alignment horizontal="center" vertical="center" wrapText="1" shrinkToFit="1"/>
    </xf>
    <xf numFmtId="1" fontId="0" fillId="0" borderId="0" xfId="0" applyNumberFormat="1" applyFill="1" applyBorder="1" applyAlignment="1">
      <alignment horizontal="center"/>
    </xf>
    <xf numFmtId="0" fontId="0" fillId="0" borderId="16" xfId="0" applyFill="1" applyBorder="1"/>
    <xf numFmtId="0" fontId="0" fillId="2" borderId="16" xfId="0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8" xfId="0" applyBorder="1"/>
    <xf numFmtId="0" fontId="0" fillId="2" borderId="18" xfId="0" applyFill="1" applyBorder="1" applyAlignment="1">
      <alignment horizontal="center" vertical="center" wrapText="1" shrinkToFit="1"/>
    </xf>
    <xf numFmtId="0" fontId="0" fillId="2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1" xfId="0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2" borderId="21" xfId="0" applyFill="1" applyBorder="1" applyAlignment="1">
      <alignment horizontal="center" vertical="center" wrapText="1" shrinkToFit="1"/>
    </xf>
    <xf numFmtId="0" fontId="6" fillId="0" borderId="0" xfId="0" applyFont="1" applyFill="1" applyBorder="1"/>
    <xf numFmtId="165" fontId="0" fillId="0" borderId="1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Normal" xfId="0" builtinId="0"/>
    <cellStyle name="Yüzde" xfId="3" builtinId="5"/>
    <cellStyle name="Yüzde 2" xfId="1" xr:uid="{00000000-0005-0000-0000-000002000000}"/>
    <cellStyle name="Yüzde 3" xfId="2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26" sqref="O26"/>
    </sheetView>
  </sheetViews>
  <sheetFormatPr defaultColWidth="9.140625" defaultRowHeight="15" x14ac:dyDescent="0.25"/>
  <cols>
    <col min="1" max="1" width="11.7109375" style="1" customWidth="1"/>
    <col min="2" max="2" width="9" style="1" customWidth="1"/>
    <col min="3" max="3" width="5.7109375" style="23" customWidth="1"/>
    <col min="4" max="4" width="8.85546875" style="24" customWidth="1"/>
    <col min="5" max="5" width="11" style="24" customWidth="1"/>
    <col min="6" max="7" width="9.5703125" style="1" customWidth="1"/>
    <col min="8" max="9" width="10.140625" style="1" customWidth="1"/>
    <col min="10" max="13" width="9.28515625" style="1" customWidth="1"/>
    <col min="14" max="16" width="10.140625" style="1" customWidth="1"/>
    <col min="17" max="20" width="9.140625" style="1" customWidth="1"/>
    <col min="21" max="21" width="9.140625" style="11" customWidth="1"/>
    <col min="22" max="22" width="13.5703125" style="1" bestFit="1" customWidth="1"/>
    <col min="23" max="16384" width="9.140625" style="1"/>
  </cols>
  <sheetData>
    <row r="1" spans="1:25" ht="18.75" x14ac:dyDescent="0.3"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5" s="14" customFormat="1" ht="30" x14ac:dyDescent="0.25">
      <c r="A2" s="50" t="s">
        <v>27</v>
      </c>
      <c r="B2" s="50" t="s">
        <v>56</v>
      </c>
      <c r="C2" s="22" t="s">
        <v>12</v>
      </c>
      <c r="D2" s="49" t="s">
        <v>10</v>
      </c>
      <c r="E2" s="49" t="s">
        <v>29</v>
      </c>
      <c r="F2" s="16" t="s">
        <v>30</v>
      </c>
      <c r="G2" s="16" t="s">
        <v>58</v>
      </c>
      <c r="H2" s="15" t="s">
        <v>34</v>
      </c>
      <c r="I2" s="15" t="s">
        <v>33</v>
      </c>
      <c r="J2" s="15" t="s">
        <v>0</v>
      </c>
      <c r="K2" s="15" t="s">
        <v>1</v>
      </c>
      <c r="L2" s="22" t="s">
        <v>51</v>
      </c>
      <c r="M2" s="22" t="s">
        <v>48</v>
      </c>
      <c r="N2" s="15" t="s">
        <v>9</v>
      </c>
      <c r="O2" s="15" t="s">
        <v>28</v>
      </c>
      <c r="P2" s="15" t="s">
        <v>31</v>
      </c>
      <c r="Q2" s="15" t="s">
        <v>4</v>
      </c>
      <c r="R2" s="15" t="s">
        <v>32</v>
      </c>
      <c r="S2" s="15" t="s">
        <v>2</v>
      </c>
      <c r="T2" s="15" t="s">
        <v>56</v>
      </c>
      <c r="U2" s="22" t="s">
        <v>3</v>
      </c>
      <c r="V2" s="15" t="s">
        <v>7</v>
      </c>
    </row>
    <row r="3" spans="1:25" s="14" customFormat="1" x14ac:dyDescent="0.25">
      <c r="A3" s="1" t="s">
        <v>45</v>
      </c>
      <c r="B3" s="2"/>
      <c r="C3" s="27"/>
      <c r="D3" s="28">
        <v>1000</v>
      </c>
      <c r="E3" s="28"/>
      <c r="F3" s="10">
        <f>D3+E3</f>
        <v>1000</v>
      </c>
      <c r="G3" s="10">
        <f>F3</f>
        <v>1000</v>
      </c>
      <c r="H3" s="13">
        <f>IF((F3&gt;SGK_tv_old),(F3-SGK_tv_old),0)</f>
        <v>0</v>
      </c>
      <c r="I3" s="13"/>
      <c r="L3" s="32"/>
      <c r="M3" s="32"/>
      <c r="U3" s="32"/>
    </row>
    <row r="4" spans="1:25" s="14" customFormat="1" x14ac:dyDescent="0.25">
      <c r="A4" s="11" t="s">
        <v>46</v>
      </c>
      <c r="B4" s="58"/>
      <c r="C4" s="27"/>
      <c r="D4" s="28">
        <v>1000</v>
      </c>
      <c r="E4" s="28"/>
      <c r="F4" s="10">
        <f t="shared" ref="F4" si="0">D4+E4</f>
        <v>1000</v>
      </c>
      <c r="G4" s="10">
        <f>F4+H3+I3</f>
        <v>1000</v>
      </c>
      <c r="H4" s="13">
        <f>IF((F4&gt;SGK_tv_old),(F4-SGK_tv_old),0)</f>
        <v>0</v>
      </c>
      <c r="I4" s="13">
        <f>IF((H3+F4)&gt;SGK_tv_old,H3+F4-SGK_tv_old,0)</f>
        <v>0</v>
      </c>
      <c r="L4" s="32"/>
      <c r="M4" s="32"/>
      <c r="U4" s="32"/>
    </row>
    <row r="5" spans="1:25" x14ac:dyDescent="0.25">
      <c r="A5" s="41" t="s">
        <v>35</v>
      </c>
      <c r="B5" s="43" t="s">
        <v>57</v>
      </c>
      <c r="C5" s="59">
        <v>1</v>
      </c>
      <c r="D5" s="42">
        <v>1200</v>
      </c>
      <c r="E5" s="43"/>
      <c r="F5" s="44">
        <f>D5+E5</f>
        <v>1200</v>
      </c>
      <c r="G5" s="44">
        <f t="shared" ref="G5:G16" si="1">F5+I4</f>
        <v>1200</v>
      </c>
      <c r="H5" s="45">
        <f t="shared" ref="H5:H16" si="2">IF((F5&gt;SGK_tv),(F5-SGK_tv),0)</f>
        <v>0</v>
      </c>
      <c r="I5" s="45">
        <f t="shared" ref="I5:I16" si="3">IF((H4+F5)&gt;SGK_tv,H4+F5-SGK_tv,0)</f>
        <v>0</v>
      </c>
      <c r="J5" s="45">
        <f t="shared" ref="J5:J16" si="4">IF(G5&gt;(SGK_tv),SGK_tv*SGK,G5*SGK)</f>
        <v>168.00000000000003</v>
      </c>
      <c r="K5" s="44">
        <f t="shared" ref="K5:K16" si="5">IF(G5&gt;SGK_tv,SGK_tv*Issizlik,G5*Issizlik)</f>
        <v>12</v>
      </c>
      <c r="L5" s="46"/>
      <c r="M5" s="47">
        <f>IF((IF(L5&gt;F5*0.15,F5*0.15,L5))&gt;DATA!$B$7,DATA!$B$7,(IF(L5&gt;F5*0.15,F5*0.15,L5)))</f>
        <v>0</v>
      </c>
      <c r="N5" s="44">
        <f t="shared" ref="N5:N16" si="6">F5-K5-J5-M5</f>
        <v>1020</v>
      </c>
      <c r="O5" s="44">
        <f>N5</f>
        <v>1020</v>
      </c>
      <c r="P5" s="48">
        <f t="shared" ref="P5:P16" si="7">VLOOKUP(O5,GV_Dilimleri,3,TRUE)</f>
        <v>0.15</v>
      </c>
      <c r="Q5" s="44">
        <f>VLOOKUP(O5,GV_Dilimleri,4,TRUE)+(O5-VLOOKUP(O5,GV_Dilimleri,1,TRUE))*VLOOKUP(O5,GV_Dilimleri,3,TRUE)</f>
        <v>153</v>
      </c>
      <c r="R5" s="44">
        <f>Q5</f>
        <v>153</v>
      </c>
      <c r="S5" s="44">
        <f>F5*DATA!$B$6</f>
        <v>9.1080000000000005</v>
      </c>
      <c r="T5" s="44">
        <f t="shared" ref="T5:T16" si="8">IF(B5="E",IF(G5&gt;SGK_tv,SGK_tv*0.03,G5*0.03),0)</f>
        <v>0</v>
      </c>
      <c r="U5" s="47">
        <f t="shared" ref="U5:U16" si="9">VLOOKUP(C5,AGI,3,FALSE)</f>
        <v>191.88</v>
      </c>
      <c r="V5" s="53">
        <f t="shared" ref="V5:V16" si="10">F5-J5-K5-Q5-S5-T5+U5</f>
        <v>1049.7719999999999</v>
      </c>
      <c r="X5" s="26"/>
      <c r="Y5" s="26"/>
    </row>
    <row r="6" spans="1:25" x14ac:dyDescent="0.25">
      <c r="A6" s="1" t="s">
        <v>36</v>
      </c>
      <c r="B6" s="30" t="s">
        <v>57</v>
      </c>
      <c r="C6" s="60">
        <v>1</v>
      </c>
      <c r="D6" s="28">
        <v>1200</v>
      </c>
      <c r="E6" s="30"/>
      <c r="F6" s="10">
        <f t="shared" ref="F6:F16" si="11">D6+E6</f>
        <v>1200</v>
      </c>
      <c r="G6" s="10">
        <f t="shared" si="1"/>
        <v>1200</v>
      </c>
      <c r="H6" s="13">
        <f t="shared" si="2"/>
        <v>0</v>
      </c>
      <c r="I6" s="13">
        <f t="shared" si="3"/>
        <v>0</v>
      </c>
      <c r="J6" s="13">
        <f t="shared" si="4"/>
        <v>168.00000000000003</v>
      </c>
      <c r="K6" s="10">
        <f t="shared" si="5"/>
        <v>12</v>
      </c>
      <c r="L6" s="29"/>
      <c r="M6" s="33">
        <f>IF((IF(L6&gt;F6*0.15,F6*0.15,L6))+M5&gt;DATA!$B$7,DATA!$B$7-M5,(IF(L6&gt;F6*0.15,F6*0.15,L6)))</f>
        <v>0</v>
      </c>
      <c r="N6" s="10">
        <f t="shared" si="6"/>
        <v>1020</v>
      </c>
      <c r="O6" s="10">
        <f t="shared" ref="O6:O16" si="12">O5+N6</f>
        <v>2040</v>
      </c>
      <c r="P6" s="25">
        <f t="shared" si="7"/>
        <v>0.15</v>
      </c>
      <c r="Q6" s="10">
        <f t="shared" ref="Q6:Q16" si="13">VLOOKUP(O6,GV_Dilimleri,4,TRUE)+(O6-VLOOKUP(O6,GV_Dilimleri,1,TRUE))*VLOOKUP(O6,GV_Dilimleri,3,TRUE)-R5</f>
        <v>153</v>
      </c>
      <c r="R6" s="10">
        <f>R5+Q6</f>
        <v>306</v>
      </c>
      <c r="S6" s="10">
        <f>F6*DATA!$B$6</f>
        <v>9.1080000000000005</v>
      </c>
      <c r="T6" s="10">
        <f t="shared" si="8"/>
        <v>0</v>
      </c>
      <c r="U6" s="33">
        <f t="shared" si="9"/>
        <v>191.88</v>
      </c>
      <c r="V6" s="54">
        <f t="shared" si="10"/>
        <v>1049.7719999999999</v>
      </c>
    </row>
    <row r="7" spans="1:25" x14ac:dyDescent="0.25">
      <c r="A7" s="11" t="s">
        <v>37</v>
      </c>
      <c r="B7" s="30" t="s">
        <v>57</v>
      </c>
      <c r="C7" s="60">
        <v>1</v>
      </c>
      <c r="D7" s="28">
        <v>1200</v>
      </c>
      <c r="E7" s="30"/>
      <c r="F7" s="10">
        <f>D7+E7</f>
        <v>1200</v>
      </c>
      <c r="G7" s="10">
        <f t="shared" si="1"/>
        <v>1200</v>
      </c>
      <c r="H7" s="13">
        <f t="shared" si="2"/>
        <v>0</v>
      </c>
      <c r="I7" s="13">
        <f t="shared" si="3"/>
        <v>0</v>
      </c>
      <c r="J7" s="13">
        <f t="shared" si="4"/>
        <v>168.00000000000003</v>
      </c>
      <c r="K7" s="10">
        <f t="shared" si="5"/>
        <v>12</v>
      </c>
      <c r="L7" s="29"/>
      <c r="M7" s="33">
        <f>IF((IF(L7&gt;F7*0.15,F7*0.15,L7))+SUM($M$5:M6)&gt;DATA!$B$7,DATA!$B$7-SUM($M$5:M6),(IF(L7&gt;F7*0.15,F7*0.15,L7)))</f>
        <v>0</v>
      </c>
      <c r="N7" s="10">
        <f t="shared" si="6"/>
        <v>1020</v>
      </c>
      <c r="O7" s="10">
        <f t="shared" si="12"/>
        <v>3060</v>
      </c>
      <c r="P7" s="25">
        <f t="shared" si="7"/>
        <v>0.15</v>
      </c>
      <c r="Q7" s="10">
        <f t="shared" si="13"/>
        <v>153</v>
      </c>
      <c r="R7" s="10">
        <f t="shared" ref="R7:R16" si="14">R6+Q7</f>
        <v>459</v>
      </c>
      <c r="S7" s="10">
        <f>F7*DATA!$B$6</f>
        <v>9.1080000000000005</v>
      </c>
      <c r="T7" s="10">
        <f t="shared" si="8"/>
        <v>0</v>
      </c>
      <c r="U7" s="33">
        <f t="shared" si="9"/>
        <v>191.88</v>
      </c>
      <c r="V7" s="54">
        <f t="shared" si="10"/>
        <v>1049.7719999999999</v>
      </c>
    </row>
    <row r="8" spans="1:25" x14ac:dyDescent="0.25">
      <c r="A8" s="1" t="s">
        <v>38</v>
      </c>
      <c r="B8" s="30" t="s">
        <v>57</v>
      </c>
      <c r="C8" s="60">
        <v>1</v>
      </c>
      <c r="D8" s="28">
        <v>1200</v>
      </c>
      <c r="E8" s="30"/>
      <c r="F8" s="10">
        <f t="shared" si="11"/>
        <v>1200</v>
      </c>
      <c r="G8" s="10">
        <f t="shared" si="1"/>
        <v>1200</v>
      </c>
      <c r="H8" s="13">
        <f t="shared" si="2"/>
        <v>0</v>
      </c>
      <c r="I8" s="13">
        <f t="shared" si="3"/>
        <v>0</v>
      </c>
      <c r="J8" s="13">
        <f t="shared" si="4"/>
        <v>168.00000000000003</v>
      </c>
      <c r="K8" s="10">
        <f t="shared" si="5"/>
        <v>12</v>
      </c>
      <c r="L8" s="29"/>
      <c r="M8" s="33">
        <f>IF((IF(L8&gt;F8*0.15,F8*0.15,L8))+SUM($M$5:M7)&gt;DATA!$B$7,DATA!$B$7-SUM($M$5:M7),(IF(L8&gt;F8*0.15,F8*0.15,L8)))</f>
        <v>0</v>
      </c>
      <c r="N8" s="10">
        <f t="shared" si="6"/>
        <v>1020</v>
      </c>
      <c r="O8" s="10">
        <f t="shared" si="12"/>
        <v>4080</v>
      </c>
      <c r="P8" s="25">
        <f t="shared" si="7"/>
        <v>0.15</v>
      </c>
      <c r="Q8" s="10">
        <f t="shared" si="13"/>
        <v>153</v>
      </c>
      <c r="R8" s="10">
        <f t="shared" si="14"/>
        <v>612</v>
      </c>
      <c r="S8" s="10">
        <f>F8*DATA!$B$6</f>
        <v>9.1080000000000005</v>
      </c>
      <c r="T8" s="10">
        <f t="shared" si="8"/>
        <v>0</v>
      </c>
      <c r="U8" s="33">
        <f t="shared" si="9"/>
        <v>191.88</v>
      </c>
      <c r="V8" s="54">
        <f t="shared" si="10"/>
        <v>1049.7719999999999</v>
      </c>
    </row>
    <row r="9" spans="1:25" x14ac:dyDescent="0.25">
      <c r="A9" s="1" t="s">
        <v>39</v>
      </c>
      <c r="B9" s="30" t="s">
        <v>57</v>
      </c>
      <c r="C9" s="60">
        <v>1</v>
      </c>
      <c r="D9" s="28">
        <v>1200</v>
      </c>
      <c r="E9" s="30"/>
      <c r="F9" s="10">
        <f t="shared" si="11"/>
        <v>1200</v>
      </c>
      <c r="G9" s="10">
        <f t="shared" si="1"/>
        <v>1200</v>
      </c>
      <c r="H9" s="13">
        <f t="shared" si="2"/>
        <v>0</v>
      </c>
      <c r="I9" s="13">
        <f t="shared" si="3"/>
        <v>0</v>
      </c>
      <c r="J9" s="13">
        <f t="shared" si="4"/>
        <v>168.00000000000003</v>
      </c>
      <c r="K9" s="10">
        <f t="shared" si="5"/>
        <v>12</v>
      </c>
      <c r="L9" s="29"/>
      <c r="M9" s="33">
        <f>IF((IF(L9&gt;F9*0.15,F9*0.15,L9))+SUM($M$5:M8)&gt;DATA!$B$7,DATA!$B$7-SUM($M$5:M8),(IF(L9&gt;F9*0.15,F9*0.15,L9)))</f>
        <v>0</v>
      </c>
      <c r="N9" s="10">
        <f t="shared" si="6"/>
        <v>1020</v>
      </c>
      <c r="O9" s="10">
        <f t="shared" si="12"/>
        <v>5100</v>
      </c>
      <c r="P9" s="25">
        <f t="shared" si="7"/>
        <v>0.15</v>
      </c>
      <c r="Q9" s="10">
        <f t="shared" si="13"/>
        <v>153</v>
      </c>
      <c r="R9" s="10">
        <f t="shared" si="14"/>
        <v>765</v>
      </c>
      <c r="S9" s="10">
        <f>F9*DATA!$B$6</f>
        <v>9.1080000000000005</v>
      </c>
      <c r="T9" s="10">
        <f t="shared" si="8"/>
        <v>0</v>
      </c>
      <c r="U9" s="33">
        <f t="shared" si="9"/>
        <v>191.88</v>
      </c>
      <c r="V9" s="54">
        <f t="shared" si="10"/>
        <v>1049.7719999999999</v>
      </c>
    </row>
    <row r="10" spans="1:25" x14ac:dyDescent="0.25">
      <c r="A10" s="11" t="s">
        <v>40</v>
      </c>
      <c r="B10" s="30" t="s">
        <v>57</v>
      </c>
      <c r="C10" s="60">
        <v>1</v>
      </c>
      <c r="D10" s="28">
        <v>1200</v>
      </c>
      <c r="E10" s="30"/>
      <c r="F10" s="10">
        <f t="shared" si="11"/>
        <v>1200</v>
      </c>
      <c r="G10" s="10">
        <f t="shared" si="1"/>
        <v>1200</v>
      </c>
      <c r="H10" s="13">
        <f t="shared" si="2"/>
        <v>0</v>
      </c>
      <c r="I10" s="13">
        <f t="shared" si="3"/>
        <v>0</v>
      </c>
      <c r="J10" s="13">
        <f t="shared" si="4"/>
        <v>168.00000000000003</v>
      </c>
      <c r="K10" s="10">
        <f t="shared" si="5"/>
        <v>12</v>
      </c>
      <c r="L10" s="29"/>
      <c r="M10" s="33">
        <f>IF((IF(L10&gt;F10*0.15,F10*0.15,L10))+SUM($M$5:M9)&gt;DATA!$B$7,DATA!$B$7-SUM($M$5:M9),(IF(L10&gt;F10*0.15,F10*0.15,L10)))</f>
        <v>0</v>
      </c>
      <c r="N10" s="10">
        <f t="shared" si="6"/>
        <v>1020</v>
      </c>
      <c r="O10" s="10">
        <f t="shared" si="12"/>
        <v>6120</v>
      </c>
      <c r="P10" s="25">
        <f t="shared" si="7"/>
        <v>0.15</v>
      </c>
      <c r="Q10" s="10">
        <f t="shared" si="13"/>
        <v>153</v>
      </c>
      <c r="R10" s="10">
        <f t="shared" si="14"/>
        <v>918</v>
      </c>
      <c r="S10" s="10">
        <f>F10*DATA!$B$6</f>
        <v>9.1080000000000005</v>
      </c>
      <c r="T10" s="10">
        <f t="shared" si="8"/>
        <v>0</v>
      </c>
      <c r="U10" s="33">
        <f t="shared" si="9"/>
        <v>191.88</v>
      </c>
      <c r="V10" s="54">
        <f t="shared" si="10"/>
        <v>1049.7719999999999</v>
      </c>
    </row>
    <row r="11" spans="1:25" x14ac:dyDescent="0.25">
      <c r="A11" s="1" t="s">
        <v>41</v>
      </c>
      <c r="B11" s="30" t="s">
        <v>57</v>
      </c>
      <c r="C11" s="60">
        <v>1</v>
      </c>
      <c r="D11" s="28">
        <v>1200</v>
      </c>
      <c r="E11" s="30"/>
      <c r="F11" s="10">
        <f t="shared" si="11"/>
        <v>1200</v>
      </c>
      <c r="G11" s="10">
        <f t="shared" si="1"/>
        <v>1200</v>
      </c>
      <c r="H11" s="13">
        <f t="shared" si="2"/>
        <v>0</v>
      </c>
      <c r="I11" s="13">
        <f t="shared" si="3"/>
        <v>0</v>
      </c>
      <c r="J11" s="13">
        <f t="shared" si="4"/>
        <v>168.00000000000003</v>
      </c>
      <c r="K11" s="10">
        <f t="shared" si="5"/>
        <v>12</v>
      </c>
      <c r="L11" s="29"/>
      <c r="M11" s="33">
        <f>IF((IF(L11&gt;F11*0.15,F11*0.15,L11))+SUM($M$5:M10)&gt;DATA!$B$7,DATA!$B$7-SUM($M$5:M10),(IF(L11&gt;F11*0.15,F11*0.15,L11)))</f>
        <v>0</v>
      </c>
      <c r="N11" s="10">
        <f t="shared" si="6"/>
        <v>1020</v>
      </c>
      <c r="O11" s="10">
        <f t="shared" si="12"/>
        <v>7140</v>
      </c>
      <c r="P11" s="25">
        <f t="shared" si="7"/>
        <v>0.15</v>
      </c>
      <c r="Q11" s="10">
        <f t="shared" si="13"/>
        <v>153</v>
      </c>
      <c r="R11" s="10">
        <f t="shared" si="14"/>
        <v>1071</v>
      </c>
      <c r="S11" s="10">
        <f>F11*DATA!$B$6</f>
        <v>9.1080000000000005</v>
      </c>
      <c r="T11" s="10">
        <f t="shared" si="8"/>
        <v>0</v>
      </c>
      <c r="U11" s="33">
        <f t="shared" si="9"/>
        <v>191.88</v>
      </c>
      <c r="V11" s="54">
        <f t="shared" si="10"/>
        <v>1049.7719999999999</v>
      </c>
    </row>
    <row r="12" spans="1:25" x14ac:dyDescent="0.25">
      <c r="A12" s="1" t="s">
        <v>42</v>
      </c>
      <c r="B12" s="30" t="s">
        <v>57</v>
      </c>
      <c r="C12" s="60">
        <v>1</v>
      </c>
      <c r="D12" s="28">
        <v>1200</v>
      </c>
      <c r="E12" s="30"/>
      <c r="F12" s="10">
        <f t="shared" si="11"/>
        <v>1200</v>
      </c>
      <c r="G12" s="10">
        <f t="shared" si="1"/>
        <v>1200</v>
      </c>
      <c r="H12" s="13">
        <f t="shared" si="2"/>
        <v>0</v>
      </c>
      <c r="I12" s="13">
        <f t="shared" si="3"/>
        <v>0</v>
      </c>
      <c r="J12" s="13">
        <f t="shared" si="4"/>
        <v>168.00000000000003</v>
      </c>
      <c r="K12" s="10">
        <f t="shared" si="5"/>
        <v>12</v>
      </c>
      <c r="L12" s="29"/>
      <c r="M12" s="33">
        <f>IF((IF(L12&gt;F12*0.15,F12*0.15,L12))+SUM($M$5:M11)&gt;DATA!$B$7,DATA!$B$7-SUM($M$5:M11),(IF(L12&gt;F12*0.15,F12*0.15,L12)))</f>
        <v>0</v>
      </c>
      <c r="N12" s="10">
        <f t="shared" si="6"/>
        <v>1020</v>
      </c>
      <c r="O12" s="10">
        <f t="shared" si="12"/>
        <v>8160</v>
      </c>
      <c r="P12" s="25">
        <f t="shared" si="7"/>
        <v>0.15</v>
      </c>
      <c r="Q12" s="10">
        <f t="shared" si="13"/>
        <v>153</v>
      </c>
      <c r="R12" s="10">
        <f t="shared" si="14"/>
        <v>1224</v>
      </c>
      <c r="S12" s="10">
        <f>F12*DATA!$B$6</f>
        <v>9.1080000000000005</v>
      </c>
      <c r="T12" s="10">
        <f t="shared" si="8"/>
        <v>0</v>
      </c>
      <c r="U12" s="33">
        <f t="shared" si="9"/>
        <v>191.88</v>
      </c>
      <c r="V12" s="54">
        <f t="shared" si="10"/>
        <v>1049.7719999999999</v>
      </c>
    </row>
    <row r="13" spans="1:25" x14ac:dyDescent="0.25">
      <c r="A13" s="11" t="s">
        <v>43</v>
      </c>
      <c r="B13" s="30" t="s">
        <v>57</v>
      </c>
      <c r="C13" s="60">
        <v>1</v>
      </c>
      <c r="D13" s="28">
        <v>1200</v>
      </c>
      <c r="E13" s="30"/>
      <c r="F13" s="10">
        <f t="shared" si="11"/>
        <v>1200</v>
      </c>
      <c r="G13" s="10">
        <f t="shared" si="1"/>
        <v>1200</v>
      </c>
      <c r="H13" s="13">
        <f t="shared" si="2"/>
        <v>0</v>
      </c>
      <c r="I13" s="13">
        <f t="shared" si="3"/>
        <v>0</v>
      </c>
      <c r="J13" s="13">
        <f t="shared" si="4"/>
        <v>168.00000000000003</v>
      </c>
      <c r="K13" s="10">
        <f t="shared" si="5"/>
        <v>12</v>
      </c>
      <c r="L13" s="29"/>
      <c r="M13" s="33">
        <f>IF((IF(L13&gt;F13*0.15,F13*0.15,L13))+SUM($M$5:M12)&gt;DATA!$B$7,DATA!$B$7-SUM($M$5:M12),(IF(L13&gt;F13*0.15,F13*0.15,L13)))</f>
        <v>0</v>
      </c>
      <c r="N13" s="10">
        <f t="shared" si="6"/>
        <v>1020</v>
      </c>
      <c r="O13" s="10">
        <f t="shared" si="12"/>
        <v>9180</v>
      </c>
      <c r="P13" s="25">
        <f t="shared" si="7"/>
        <v>0.15</v>
      </c>
      <c r="Q13" s="10">
        <f t="shared" si="13"/>
        <v>153</v>
      </c>
      <c r="R13" s="10">
        <f t="shared" si="14"/>
        <v>1377</v>
      </c>
      <c r="S13" s="10">
        <f>F13*DATA!$B$6</f>
        <v>9.1080000000000005</v>
      </c>
      <c r="T13" s="10">
        <f t="shared" si="8"/>
        <v>0</v>
      </c>
      <c r="U13" s="33">
        <f t="shared" si="9"/>
        <v>191.88</v>
      </c>
      <c r="V13" s="54">
        <f t="shared" si="10"/>
        <v>1049.7719999999999</v>
      </c>
    </row>
    <row r="14" spans="1:25" x14ac:dyDescent="0.25">
      <c r="A14" s="1" t="s">
        <v>44</v>
      </c>
      <c r="B14" s="30" t="s">
        <v>57</v>
      </c>
      <c r="C14" s="60">
        <v>1</v>
      </c>
      <c r="D14" s="28">
        <v>1200</v>
      </c>
      <c r="E14" s="30"/>
      <c r="F14" s="10">
        <f t="shared" si="11"/>
        <v>1200</v>
      </c>
      <c r="G14" s="10">
        <f t="shared" si="1"/>
        <v>1200</v>
      </c>
      <c r="H14" s="13">
        <f t="shared" si="2"/>
        <v>0</v>
      </c>
      <c r="I14" s="13">
        <f t="shared" si="3"/>
        <v>0</v>
      </c>
      <c r="J14" s="13">
        <f t="shared" si="4"/>
        <v>168.00000000000003</v>
      </c>
      <c r="K14" s="10">
        <f t="shared" si="5"/>
        <v>12</v>
      </c>
      <c r="L14" s="29"/>
      <c r="M14" s="33">
        <f>IF((IF(L14&gt;F14*0.15,F14*0.15,L14))+SUM($M$5:M13)&gt;DATA!$B$7,DATA!$B$7-SUM($M$5:M13),(IF(L14&gt;F14*0.15,F14*0.15,L14)))</f>
        <v>0</v>
      </c>
      <c r="N14" s="10">
        <f t="shared" si="6"/>
        <v>1020</v>
      </c>
      <c r="O14" s="10">
        <f t="shared" si="12"/>
        <v>10200</v>
      </c>
      <c r="P14" s="25">
        <f t="shared" si="7"/>
        <v>0.15</v>
      </c>
      <c r="Q14" s="10">
        <f t="shared" si="13"/>
        <v>153</v>
      </c>
      <c r="R14" s="10">
        <f>R13+Q14</f>
        <v>1530</v>
      </c>
      <c r="S14" s="10">
        <f>F14*DATA!$B$6</f>
        <v>9.1080000000000005</v>
      </c>
      <c r="T14" s="10">
        <f t="shared" si="8"/>
        <v>0</v>
      </c>
      <c r="U14" s="33">
        <f t="shared" si="9"/>
        <v>191.88</v>
      </c>
      <c r="V14" s="54">
        <f t="shared" si="10"/>
        <v>1049.7719999999999</v>
      </c>
    </row>
    <row r="15" spans="1:25" x14ac:dyDescent="0.25">
      <c r="A15" s="1" t="s">
        <v>45</v>
      </c>
      <c r="B15" s="30" t="s">
        <v>57</v>
      </c>
      <c r="C15" s="60">
        <v>1</v>
      </c>
      <c r="D15" s="28">
        <v>1200</v>
      </c>
      <c r="E15" s="30"/>
      <c r="F15" s="10">
        <f t="shared" si="11"/>
        <v>1200</v>
      </c>
      <c r="G15" s="10">
        <f t="shared" si="1"/>
        <v>1200</v>
      </c>
      <c r="H15" s="13">
        <f t="shared" si="2"/>
        <v>0</v>
      </c>
      <c r="I15" s="13">
        <f t="shared" si="3"/>
        <v>0</v>
      </c>
      <c r="J15" s="13">
        <f t="shared" si="4"/>
        <v>168.00000000000003</v>
      </c>
      <c r="K15" s="10">
        <f t="shared" si="5"/>
        <v>12</v>
      </c>
      <c r="L15" s="29"/>
      <c r="M15" s="33">
        <f>IF((IF(L15&gt;F15*0.15,F15*0.15,L15))+SUM($M$5:M14)&gt;DATA!$B$7,DATA!$B$7-SUM($M$5:M14),(IF(L15&gt;F15*0.15,F15*0.15,L15)))</f>
        <v>0</v>
      </c>
      <c r="N15" s="10">
        <f t="shared" si="6"/>
        <v>1020</v>
      </c>
      <c r="O15" s="10">
        <f t="shared" si="12"/>
        <v>11220</v>
      </c>
      <c r="P15" s="25">
        <f t="shared" si="7"/>
        <v>0.15</v>
      </c>
      <c r="Q15" s="10">
        <f t="shared" si="13"/>
        <v>153</v>
      </c>
      <c r="R15" s="10">
        <f t="shared" si="14"/>
        <v>1683</v>
      </c>
      <c r="S15" s="10">
        <f>F15*DATA!$B$6</f>
        <v>9.1080000000000005</v>
      </c>
      <c r="T15" s="10">
        <f t="shared" si="8"/>
        <v>0</v>
      </c>
      <c r="U15" s="33">
        <f t="shared" si="9"/>
        <v>191.88</v>
      </c>
      <c r="V15" s="54">
        <f t="shared" si="10"/>
        <v>1049.7719999999999</v>
      </c>
    </row>
    <row r="16" spans="1:25" x14ac:dyDescent="0.25">
      <c r="A16" s="34" t="s">
        <v>46</v>
      </c>
      <c r="B16" s="35" t="s">
        <v>57</v>
      </c>
      <c r="C16" s="61">
        <v>1</v>
      </c>
      <c r="D16" s="51">
        <v>1200</v>
      </c>
      <c r="E16" s="35"/>
      <c r="F16" s="36">
        <f t="shared" si="11"/>
        <v>1200</v>
      </c>
      <c r="G16" s="36">
        <f t="shared" si="1"/>
        <v>1200</v>
      </c>
      <c r="H16" s="37">
        <f t="shared" si="2"/>
        <v>0</v>
      </c>
      <c r="I16" s="37">
        <f t="shared" si="3"/>
        <v>0</v>
      </c>
      <c r="J16" s="37">
        <f t="shared" si="4"/>
        <v>168.00000000000003</v>
      </c>
      <c r="K16" s="36">
        <f t="shared" si="5"/>
        <v>12</v>
      </c>
      <c r="L16" s="38"/>
      <c r="M16" s="39">
        <f>IF((IF(L16&gt;F16*0.15,F16*0.15,L16))+SUM($M$5:M15)&gt;DATA!$B$7,DATA!$B$7-SUM($M$5:M15),(IF(L16&gt;F16*0.15,F16*0.15,L16)))</f>
        <v>0</v>
      </c>
      <c r="N16" s="36">
        <f t="shared" si="6"/>
        <v>1020</v>
      </c>
      <c r="O16" s="36">
        <f t="shared" si="12"/>
        <v>12240</v>
      </c>
      <c r="P16" s="40">
        <f t="shared" si="7"/>
        <v>0.15</v>
      </c>
      <c r="Q16" s="36">
        <f t="shared" si="13"/>
        <v>153</v>
      </c>
      <c r="R16" s="36">
        <f t="shared" si="14"/>
        <v>1836</v>
      </c>
      <c r="S16" s="36">
        <f>F16*DATA!$B$6</f>
        <v>9.1080000000000005</v>
      </c>
      <c r="T16" s="36">
        <f t="shared" si="8"/>
        <v>0</v>
      </c>
      <c r="U16" s="39">
        <f t="shared" si="9"/>
        <v>191.88</v>
      </c>
      <c r="V16" s="55">
        <f t="shared" si="10"/>
        <v>1049.7719999999999</v>
      </c>
      <c r="X16" s="31"/>
      <c r="Y16" s="26"/>
    </row>
    <row r="17" spans="5:22" ht="15.75" x14ac:dyDescent="0.25">
      <c r="L17" s="31"/>
      <c r="M17" s="31"/>
      <c r="U17" s="52" t="s">
        <v>49</v>
      </c>
      <c r="V17" s="56">
        <f>SUM(V5:V16)</f>
        <v>12597.264000000003</v>
      </c>
    </row>
    <row r="18" spans="5:22" ht="15.75" x14ac:dyDescent="0.25">
      <c r="U18" s="52" t="s">
        <v>50</v>
      </c>
      <c r="V18" s="57">
        <f>V17/12</f>
        <v>1049.7720000000002</v>
      </c>
    </row>
    <row r="21" spans="5:22" x14ac:dyDescent="0.25">
      <c r="E21" s="1"/>
    </row>
    <row r="22" spans="5:22" x14ac:dyDescent="0.25">
      <c r="E22" s="1"/>
    </row>
  </sheetData>
  <autoFilter ref="A2:V5" xr:uid="{00000000-0009-0000-0000-000000000000}"/>
  <mergeCells count="1">
    <mergeCell ref="C1:V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workbookViewId="0">
      <selection activeCell="C25" sqref="C25"/>
    </sheetView>
  </sheetViews>
  <sheetFormatPr defaultRowHeight="15" x14ac:dyDescent="0.25"/>
  <cols>
    <col min="1" max="1" width="15.85546875" style="1" customWidth="1"/>
    <col min="2" max="2" width="9" style="2" bestFit="1" customWidth="1"/>
    <col min="3" max="3" width="9.140625" style="2"/>
    <col min="4" max="4" width="9.140625" style="1"/>
    <col min="7" max="7" width="35.85546875" customWidth="1"/>
    <col min="10" max="10" width="30.28515625" customWidth="1"/>
  </cols>
  <sheetData>
    <row r="1" spans="1:8" x14ac:dyDescent="0.25">
      <c r="A1" s="1" t="s">
        <v>0</v>
      </c>
      <c r="B1" s="3">
        <v>0.14000000000000001</v>
      </c>
    </row>
    <row r="2" spans="1:8" x14ac:dyDescent="0.25">
      <c r="A2" s="1" t="s">
        <v>11</v>
      </c>
      <c r="B2" s="17">
        <v>7.4999999999999997E-2</v>
      </c>
    </row>
    <row r="3" spans="1:8" x14ac:dyDescent="0.25">
      <c r="A3" s="1" t="s">
        <v>54</v>
      </c>
      <c r="B3" s="33">
        <f>15221.4</f>
        <v>15221.4</v>
      </c>
      <c r="C3" s="2" t="s">
        <v>55</v>
      </c>
    </row>
    <row r="4" spans="1:8" x14ac:dyDescent="0.25">
      <c r="A4" s="11" t="s">
        <v>8</v>
      </c>
      <c r="B4" s="33">
        <v>19188</v>
      </c>
      <c r="C4" s="2" t="s">
        <v>53</v>
      </c>
    </row>
    <row r="5" spans="1:8" x14ac:dyDescent="0.25">
      <c r="A5" s="1" t="s">
        <v>1</v>
      </c>
      <c r="B5" s="3">
        <v>0.01</v>
      </c>
    </row>
    <row r="6" spans="1:8" x14ac:dyDescent="0.25">
      <c r="A6" s="1" t="s">
        <v>2</v>
      </c>
      <c r="B6" s="4">
        <v>7.5900000000000004E-3</v>
      </c>
    </row>
    <row r="7" spans="1:8" x14ac:dyDescent="0.25">
      <c r="A7" s="11" t="s">
        <v>47</v>
      </c>
      <c r="B7" s="58">
        <f>2558.4*12</f>
        <v>30700.800000000003</v>
      </c>
    </row>
    <row r="8" spans="1:8" ht="15.75" thickBot="1" x14ac:dyDescent="0.3"/>
    <row r="9" spans="1:8" ht="15.75" thickBot="1" x14ac:dyDescent="0.3">
      <c r="A9" s="63" t="s">
        <v>52</v>
      </c>
      <c r="B9" s="64"/>
      <c r="C9" s="64"/>
      <c r="D9" s="65"/>
      <c r="F9" s="63" t="s">
        <v>3</v>
      </c>
      <c r="G9" s="64"/>
      <c r="H9" s="65"/>
    </row>
    <row r="10" spans="1:8" x14ac:dyDescent="0.25">
      <c r="A10" s="6" t="s">
        <v>5</v>
      </c>
      <c r="B10" s="2" t="s">
        <v>6</v>
      </c>
      <c r="D10" s="5"/>
      <c r="F10" s="21" t="s">
        <v>24</v>
      </c>
      <c r="G10" s="19" t="s">
        <v>25</v>
      </c>
      <c r="H10" s="20">
        <v>2018</v>
      </c>
    </row>
    <row r="11" spans="1:8" x14ac:dyDescent="0.25">
      <c r="A11" s="6">
        <v>0</v>
      </c>
      <c r="B11" s="2">
        <v>18000</v>
      </c>
      <c r="C11" s="3">
        <v>0.15</v>
      </c>
      <c r="D11" s="5">
        <v>0</v>
      </c>
      <c r="F11" s="6">
        <v>0</v>
      </c>
      <c r="G11" s="1" t="s">
        <v>26</v>
      </c>
      <c r="H11" s="5">
        <v>0</v>
      </c>
    </row>
    <row r="12" spans="1:8" x14ac:dyDescent="0.25">
      <c r="A12" s="6">
        <v>18000</v>
      </c>
      <c r="B12" s="2">
        <v>40000</v>
      </c>
      <c r="C12" s="3">
        <v>0.2</v>
      </c>
      <c r="D12" s="5">
        <v>2700</v>
      </c>
      <c r="F12" s="6">
        <v>1</v>
      </c>
      <c r="G12" s="1" t="s">
        <v>13</v>
      </c>
      <c r="H12" s="5">
        <v>191.88</v>
      </c>
    </row>
    <row r="13" spans="1:8" x14ac:dyDescent="0.25">
      <c r="A13" s="6">
        <v>40000</v>
      </c>
      <c r="B13" s="2">
        <v>98000</v>
      </c>
      <c r="C13" s="3">
        <v>0.27</v>
      </c>
      <c r="D13" s="5">
        <v>7100</v>
      </c>
      <c r="F13" s="6">
        <v>2</v>
      </c>
      <c r="G13" s="1" t="s">
        <v>14</v>
      </c>
      <c r="H13" s="5">
        <v>230.26</v>
      </c>
    </row>
    <row r="14" spans="1:8" x14ac:dyDescent="0.25">
      <c r="A14" s="6">
        <v>98000</v>
      </c>
      <c r="B14" s="2">
        <v>148000</v>
      </c>
      <c r="C14" s="3">
        <v>0.27</v>
      </c>
      <c r="D14" s="5">
        <v>22760</v>
      </c>
      <c r="F14" s="6">
        <v>3</v>
      </c>
      <c r="G14" s="1" t="s">
        <v>15</v>
      </c>
      <c r="H14" s="5">
        <v>259.04000000000002</v>
      </c>
    </row>
    <row r="15" spans="1:8" ht="15.75" thickBot="1" x14ac:dyDescent="0.3">
      <c r="A15" s="7">
        <v>148000</v>
      </c>
      <c r="B15" s="8">
        <v>10000000</v>
      </c>
      <c r="C15" s="9">
        <v>0.35</v>
      </c>
      <c r="D15" s="12">
        <v>36260</v>
      </c>
      <c r="F15" s="6">
        <v>4</v>
      </c>
      <c r="G15" s="1" t="s">
        <v>16</v>
      </c>
      <c r="H15" s="5">
        <v>287.82</v>
      </c>
    </row>
    <row r="16" spans="1:8" x14ac:dyDescent="0.25">
      <c r="F16" s="6">
        <v>5</v>
      </c>
      <c r="G16" s="1" t="s">
        <v>23</v>
      </c>
      <c r="H16" s="5">
        <v>326.2</v>
      </c>
    </row>
    <row r="17" spans="6:8" x14ac:dyDescent="0.25">
      <c r="F17" s="6">
        <v>6</v>
      </c>
      <c r="G17" s="1" t="s">
        <v>17</v>
      </c>
      <c r="H17" s="5">
        <v>191.88</v>
      </c>
    </row>
    <row r="18" spans="6:8" x14ac:dyDescent="0.25">
      <c r="F18" s="6">
        <v>7</v>
      </c>
      <c r="G18" s="1" t="s">
        <v>18</v>
      </c>
      <c r="H18" s="5">
        <v>220.66</v>
      </c>
    </row>
    <row r="19" spans="6:8" x14ac:dyDescent="0.25">
      <c r="F19" s="6">
        <v>8</v>
      </c>
      <c r="G19" s="1" t="s">
        <v>19</v>
      </c>
      <c r="H19" s="5">
        <v>249.44</v>
      </c>
    </row>
    <row r="20" spans="6:8" x14ac:dyDescent="0.25">
      <c r="F20" s="6">
        <v>9</v>
      </c>
      <c r="G20" s="1" t="s">
        <v>20</v>
      </c>
      <c r="H20" s="5">
        <v>287.82</v>
      </c>
    </row>
    <row r="21" spans="6:8" x14ac:dyDescent="0.25">
      <c r="F21" s="6">
        <v>10</v>
      </c>
      <c r="G21" s="1" t="s">
        <v>21</v>
      </c>
      <c r="H21" s="5">
        <v>307.01</v>
      </c>
    </row>
    <row r="22" spans="6:8" ht="15.75" thickBot="1" x14ac:dyDescent="0.3">
      <c r="F22" s="7">
        <v>11</v>
      </c>
      <c r="G22" s="18" t="s">
        <v>22</v>
      </c>
      <c r="H22" s="12">
        <v>326.2</v>
      </c>
    </row>
  </sheetData>
  <mergeCells count="2">
    <mergeCell ref="A9:D9"/>
    <mergeCell ref="F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8</vt:i4>
      </vt:variant>
    </vt:vector>
  </HeadingPairs>
  <TitlesOfParts>
    <vt:vector size="10" baseType="lpstr">
      <vt:lpstr>2019</vt:lpstr>
      <vt:lpstr>DATA</vt:lpstr>
      <vt:lpstr>AGI</vt:lpstr>
      <vt:lpstr>DV</vt:lpstr>
      <vt:lpstr>GV_Dilimleri</vt:lpstr>
      <vt:lpstr>Issizlik</vt:lpstr>
      <vt:lpstr>SGK</vt:lpstr>
      <vt:lpstr>SGK_emk</vt:lpstr>
      <vt:lpstr>SGK_tv</vt:lpstr>
      <vt:lpstr>SGK_tv_old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2020-01-24T13:54:08Z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7bf92bbd-2f28-4b81-b5d9-5f0f31f02b8e</vt:lpwstr>
  </property>
</Properties>
</file>