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https://rkaraaslan-my.sharepoint.com/personal/obuke_tekyaz_com/Documents/OVUNC/"/>
    </mc:Choice>
  </mc:AlternateContent>
  <xr:revisionPtr revIDLastSave="297" documentId="8_{2E765B28-5D23-4B34-A993-F8B7CF5B3540}" xr6:coauthVersionLast="47" xr6:coauthVersionMax="47" xr10:uidLastSave="{4C37D933-D7C3-447E-8B52-0C850F7CE83F}"/>
  <bookViews>
    <workbookView xWindow="-120" yWindow="285" windowWidth="29040" windowHeight="15465" tabRatio="579" xr2:uid="{00000000-000D-0000-FFFF-FFFF00000000}"/>
  </bookViews>
  <sheets>
    <sheet name="2022" sheetId="11" r:id="rId1"/>
    <sheet name="DATA" sheetId="12" r:id="rId2"/>
  </sheets>
  <definedNames>
    <definedName name="_xlnm._FilterDatabase" localSheetId="0" hidden="1">'2022'!$A$2:$U$5</definedName>
    <definedName name="Asgari_Ücret">DATA!$B$7</definedName>
    <definedName name="DV">DATA!$B$6</definedName>
    <definedName name="GV_Dilimleri">DATA!$A$11:$D$15</definedName>
    <definedName name="Issizlik">DATA!$B$5</definedName>
    <definedName name="SGK">DATA!$B$1</definedName>
    <definedName name="SGK_emk">DATA!$B$2</definedName>
    <definedName name="SGK_tv">DATA!$B$4</definedName>
    <definedName name="SGK_tv_old">DATA!$B$3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7" i="11" l="1"/>
  <c r="D31" i="12" l="1"/>
  <c r="C6" i="11" l="1"/>
  <c r="C7" i="11" s="1"/>
  <c r="C8" i="11" s="1"/>
  <c r="E5" i="11"/>
  <c r="Q16" i="11"/>
  <c r="Q15" i="11"/>
  <c r="Q14" i="11"/>
  <c r="Q13" i="11"/>
  <c r="Q12" i="11"/>
  <c r="Q11" i="11"/>
  <c r="Q10" i="11"/>
  <c r="Q9" i="11"/>
  <c r="Q8" i="11"/>
  <c r="Q7" i="11"/>
  <c r="Q6" i="11"/>
  <c r="Q5" i="11"/>
  <c r="D21" i="12"/>
  <c r="E21" i="12" s="1"/>
  <c r="E20" i="12"/>
  <c r="D20" i="12"/>
  <c r="E19" i="12"/>
  <c r="D19" i="12"/>
  <c r="B19" i="12"/>
  <c r="C19" i="12" s="1"/>
  <c r="A15" i="12"/>
  <c r="A14" i="12"/>
  <c r="A13" i="12"/>
  <c r="A12" i="12"/>
  <c r="C9" i="11" l="1"/>
  <c r="C10" i="11" s="1"/>
  <c r="D22" i="12"/>
  <c r="E22" i="12" s="1"/>
  <c r="B20" i="12"/>
  <c r="E7" i="11"/>
  <c r="C11" i="11" l="1"/>
  <c r="C12" i="11" s="1"/>
  <c r="C13" i="11" s="1"/>
  <c r="C14" i="11" s="1"/>
  <c r="K7" i="11"/>
  <c r="S7" i="11"/>
  <c r="D23" i="12"/>
  <c r="E23" i="12" s="1"/>
  <c r="B21" i="12"/>
  <c r="C20" i="12"/>
  <c r="G7" i="11"/>
  <c r="E3" i="11"/>
  <c r="C15" i="11" l="1"/>
  <c r="C16" i="11" s="1"/>
  <c r="D24" i="12"/>
  <c r="E24" i="12" s="1"/>
  <c r="C21" i="12"/>
  <c r="B22" i="12"/>
  <c r="T16" i="11"/>
  <c r="T15" i="11"/>
  <c r="T14" i="11"/>
  <c r="T13" i="11"/>
  <c r="T12" i="11"/>
  <c r="T11" i="11"/>
  <c r="T10" i="11"/>
  <c r="T9" i="11"/>
  <c r="T8" i="11"/>
  <c r="T7" i="11"/>
  <c r="T6" i="11"/>
  <c r="T5" i="11"/>
  <c r="C17" i="11" l="1"/>
  <c r="D25" i="12"/>
  <c r="E25" i="12" s="1"/>
  <c r="B23" i="12"/>
  <c r="C22" i="12"/>
  <c r="G3" i="11"/>
  <c r="D26" i="12" l="1"/>
  <c r="E26" i="12" s="1"/>
  <c r="C23" i="12"/>
  <c r="B24" i="12"/>
  <c r="F3" i="11"/>
  <c r="E4" i="11"/>
  <c r="H4" i="11" s="1"/>
  <c r="E6" i="11"/>
  <c r="E8" i="11"/>
  <c r="H8" i="11" s="1"/>
  <c r="E9" i="11"/>
  <c r="E10" i="11"/>
  <c r="E11" i="11"/>
  <c r="E12" i="11"/>
  <c r="E13" i="11"/>
  <c r="E14" i="11"/>
  <c r="E15" i="11"/>
  <c r="E16" i="11"/>
  <c r="K8" i="11" l="1"/>
  <c r="S8" i="11"/>
  <c r="K13" i="11"/>
  <c r="S13" i="11"/>
  <c r="K12" i="11"/>
  <c r="S12" i="11"/>
  <c r="K11" i="11"/>
  <c r="S11" i="11"/>
  <c r="K10" i="11"/>
  <c r="S10" i="11"/>
  <c r="K9" i="11"/>
  <c r="S9" i="11"/>
  <c r="K6" i="11"/>
  <c r="S6" i="11"/>
  <c r="K5" i="11"/>
  <c r="S5" i="11"/>
  <c r="K16" i="11"/>
  <c r="S16" i="11"/>
  <c r="K15" i="11"/>
  <c r="S15" i="11"/>
  <c r="K14" i="11"/>
  <c r="S14" i="11"/>
  <c r="D27" i="12"/>
  <c r="E27" i="12" s="1"/>
  <c r="C24" i="12"/>
  <c r="B25" i="12"/>
  <c r="G15" i="11"/>
  <c r="H16" i="11" s="1"/>
  <c r="G13" i="11"/>
  <c r="H14" i="11" s="1"/>
  <c r="F15" i="11" s="1"/>
  <c r="I15" i="11" s="1"/>
  <c r="G16" i="11"/>
  <c r="G14" i="11"/>
  <c r="H15" i="11" s="1"/>
  <c r="F16" i="11" s="1"/>
  <c r="I16" i="11" s="1"/>
  <c r="G12" i="11"/>
  <c r="H13" i="11" s="1"/>
  <c r="F14" i="11" s="1"/>
  <c r="I14" i="11" s="1"/>
  <c r="G11" i="11"/>
  <c r="H12" i="11" s="1"/>
  <c r="F13" i="11" s="1"/>
  <c r="I13" i="11" s="1"/>
  <c r="G10" i="11"/>
  <c r="H11" i="11" s="1"/>
  <c r="F12" i="11" s="1"/>
  <c r="I12" i="11" s="1"/>
  <c r="G9" i="11"/>
  <c r="H10" i="11" s="1"/>
  <c r="F11" i="11" s="1"/>
  <c r="I11" i="11" s="1"/>
  <c r="G6" i="11"/>
  <c r="H7" i="11" s="1"/>
  <c r="F8" i="11" s="1"/>
  <c r="I8" i="11" s="1"/>
  <c r="G5" i="11"/>
  <c r="H6" i="11" s="1"/>
  <c r="F7" i="11" s="1"/>
  <c r="I7" i="11" s="1"/>
  <c r="G8" i="11"/>
  <c r="H9" i="11" s="1"/>
  <c r="F10" i="11" s="1"/>
  <c r="I10" i="11" s="1"/>
  <c r="F9" i="11"/>
  <c r="I9" i="11" s="1"/>
  <c r="G4" i="11"/>
  <c r="H5" i="11" s="1"/>
  <c r="F6" i="11" s="1"/>
  <c r="I6" i="11" s="1"/>
  <c r="F5" i="11"/>
  <c r="I5" i="11" s="1"/>
  <c r="F4" i="11"/>
  <c r="D28" i="12" l="1"/>
  <c r="E28" i="12" s="1"/>
  <c r="C25" i="12"/>
  <c r="B26" i="12"/>
  <c r="L6" i="11"/>
  <c r="L5" i="11"/>
  <c r="L7" i="11"/>
  <c r="D29" i="12" l="1"/>
  <c r="E29" i="12" s="1"/>
  <c r="B27" i="12"/>
  <c r="C26" i="12"/>
  <c r="L8" i="11"/>
  <c r="D30" i="12" l="1"/>
  <c r="E30" i="12" s="1"/>
  <c r="B28" i="12"/>
  <c r="C27" i="12"/>
  <c r="L9" i="11"/>
  <c r="B29" i="12" l="1"/>
  <c r="C28" i="12"/>
  <c r="L10" i="11"/>
  <c r="C29" i="12" l="1"/>
  <c r="B30" i="12"/>
  <c r="C30" i="12" s="1"/>
  <c r="M5" i="11"/>
  <c r="M6" i="11" l="1"/>
  <c r="M7" i="11" s="1"/>
  <c r="O5" i="11"/>
  <c r="R5" i="11" s="1"/>
  <c r="U5" i="11" s="1"/>
  <c r="L12" i="11"/>
  <c r="L11" i="11"/>
  <c r="N5" i="11"/>
  <c r="L13" i="11" l="1"/>
  <c r="N6" i="11"/>
  <c r="P5" i="11" l="1"/>
  <c r="O6" i="11" s="1"/>
  <c r="R6" i="11" s="1"/>
  <c r="U6" i="11" s="1"/>
  <c r="L14" i="11" l="1"/>
  <c r="P6" i="11"/>
  <c r="L16" i="11"/>
  <c r="L15" i="11"/>
  <c r="N7" i="11"/>
  <c r="M8" i="11"/>
  <c r="O7" i="11" l="1"/>
  <c r="R7" i="11" s="1"/>
  <c r="U7" i="11" s="1"/>
  <c r="N8" i="11"/>
  <c r="M9" i="11"/>
  <c r="N9" i="11" s="1"/>
  <c r="P7" i="11" l="1"/>
  <c r="O8" i="11" s="1"/>
  <c r="R8" i="11" s="1"/>
  <c r="U8" i="11" s="1"/>
  <c r="M10" i="11"/>
  <c r="N10" i="11" s="1"/>
  <c r="P8" i="11" l="1"/>
  <c r="O9" i="11" s="1"/>
  <c r="R9" i="11" s="1"/>
  <c r="U9" i="11" s="1"/>
  <c r="M11" i="11"/>
  <c r="P9" i="11" l="1"/>
  <c r="O10" i="11" s="1"/>
  <c r="R10" i="11" s="1"/>
  <c r="U10" i="11" s="1"/>
  <c r="N11" i="11"/>
  <c r="M12" i="11"/>
  <c r="P10" i="11" l="1"/>
  <c r="N12" i="11"/>
  <c r="M13" i="11"/>
  <c r="O11" i="11" l="1"/>
  <c r="R11" i="11" s="1"/>
  <c r="U11" i="11" s="1"/>
  <c r="N13" i="11"/>
  <c r="M14" i="11"/>
  <c r="P11" i="11" l="1"/>
  <c r="O12" i="11" s="1"/>
  <c r="R12" i="11" s="1"/>
  <c r="U12" i="11" s="1"/>
  <c r="N14" i="11"/>
  <c r="M15" i="11"/>
  <c r="P12" i="11" l="1"/>
  <c r="O13" i="11" s="1"/>
  <c r="R13" i="11" s="1"/>
  <c r="U13" i="11" s="1"/>
  <c r="N15" i="11"/>
  <c r="M16" i="11"/>
  <c r="P13" i="11" l="1"/>
  <c r="O14" i="11" s="1"/>
  <c r="R14" i="11" s="1"/>
  <c r="U14" i="11" s="1"/>
  <c r="N16" i="11"/>
  <c r="P14" i="11" l="1"/>
  <c r="O15" i="11" s="1"/>
  <c r="R15" i="11" s="1"/>
  <c r="U15" i="11" s="1"/>
  <c r="P15" i="11" l="1"/>
  <c r="O16" i="11" s="1"/>
  <c r="R16" i="11" s="1"/>
  <c r="U16" i="11" s="1"/>
  <c r="P16" i="11" l="1"/>
  <c r="U17" i="11"/>
  <c r="U1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  <author>Övünç Buke</author>
  </authors>
  <commentList>
    <comment ref="B2" authorId="0" shapeId="0" xr:uid="{1E08EAC4-71EA-4AEE-98B5-0B680C8FA7C4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İptal edilmediği sürece SGK Matrahının %3 oranında zorunlu BES kesintisi uygulanır.</t>
        </r>
        <r>
          <rPr>
            <sz val="9"/>
            <color indexed="81"/>
            <rFont val="Tahoma"/>
            <family val="2"/>
            <charset val="162"/>
          </rPr>
          <t xml:space="preserve">
E - Zorunlu BES var
H- Zorunlu BES yok</t>
        </r>
      </text>
    </comment>
    <comment ref="J2" authorId="1" shapeId="0" xr:uid="{845F2C43-C52E-4D1B-BF3C-9B72C2E302AA}">
      <text>
        <r>
          <rPr>
            <b/>
            <sz val="9"/>
            <color indexed="81"/>
            <rFont val="Tahoma"/>
            <family val="2"/>
            <charset val="162"/>
          </rPr>
          <t>Övünç Buke:</t>
        </r>
        <r>
          <rPr>
            <sz val="9"/>
            <color indexed="81"/>
            <rFont val="Tahoma"/>
            <family val="2"/>
            <charset val="162"/>
          </rPr>
          <t xml:space="preserve">
Özel Sağlık Sigortalarınız ve Hayat Sigortalarınız</t>
        </r>
      </text>
    </comment>
  </commentList>
</comments>
</file>

<file path=xl/sharedStrings.xml><?xml version="1.0" encoding="utf-8"?>
<sst xmlns="http://schemas.openxmlformats.org/spreadsheetml/2006/main" count="82" uniqueCount="54">
  <si>
    <t>SGK</t>
  </si>
  <si>
    <t>İşsizlik</t>
  </si>
  <si>
    <t>Damga</t>
  </si>
  <si>
    <t>Alt</t>
  </si>
  <si>
    <t>ÜST</t>
  </si>
  <si>
    <t>Aylık Net</t>
  </si>
  <si>
    <t>SGK Tavan</t>
  </si>
  <si>
    <t>Vergi Matr.</t>
  </si>
  <si>
    <t>BRÜT Maaş</t>
  </si>
  <si>
    <t>SGK_emekli</t>
  </si>
  <si>
    <t>Tarih</t>
  </si>
  <si>
    <t>BRÜT 
Prim</t>
  </si>
  <si>
    <t>BRÜT 
Toplam</t>
  </si>
  <si>
    <t>Vergi dilimi</t>
  </si>
  <si>
    <t>SGK artan2</t>
  </si>
  <si>
    <t>SGK artan1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</si>
  <si>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</si>
  <si>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</si>
  <si>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</si>
  <si>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</si>
  <si>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</si>
  <si>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</si>
  <si>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</si>
  <si>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</si>
  <si>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</si>
  <si>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</si>
  <si>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</si>
  <si>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</si>
  <si>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Sigorta
Matrah</t>
  </si>
  <si>
    <t>TOPLAM</t>
  </si>
  <si>
    <t>Aylık Ort</t>
  </si>
  <si>
    <t>Bireysel
Sigorta</t>
  </si>
  <si>
    <t>SGK Tavan_eski</t>
  </si>
  <si>
    <t>Zorunlu
BES</t>
  </si>
  <si>
    <t>H</t>
  </si>
  <si>
    <t>BRÜT SGK Matrahı</t>
  </si>
  <si>
    <t>2021 için</t>
  </si>
  <si>
    <t>NOTLAR</t>
  </si>
  <si>
    <t xml:space="preserve">* Aylık brüt gelirlerin toplamı SGK Tavan ücrtinin üzerine çıkar ise, SGK Tavan ücretini geçen kısım sonraki aya devredilir. Maksimum 2 aya kadar devreder. </t>
  </si>
  <si>
    <t>* Bireysel sigortalar ile sağlanacak gelir vergisi matrah indirimi aylık brüt gelirlerin %15 ini geçemez.</t>
  </si>
  <si>
    <t>* Bireysel sigortalar ile sağlanacak gelir vergisi matrah indirimi yıllık bazda toplam yıllık brüt asgari ücreti geçemez.</t>
  </si>
  <si>
    <t>2022 için</t>
  </si>
  <si>
    <t>GV Dilimleri 2022</t>
  </si>
  <si>
    <t xml:space="preserve">* Asgari ücret için uygulanan vergi indirimleri gibi özel durumlardan dolayı yukarıdaki hesaplamalar doğru sonuç vermez. </t>
  </si>
  <si>
    <t>SGK ve
İşsizlik</t>
  </si>
  <si>
    <t>Asgari Ücret</t>
  </si>
  <si>
    <t>Vergi Matr. K</t>
  </si>
  <si>
    <t>Asgari Ü. Vergi
Mat. Küm.</t>
  </si>
  <si>
    <t>Asgari Ü. Vergi
Dilimi</t>
  </si>
  <si>
    <t>Asgari Ü.
Vergi</t>
  </si>
  <si>
    <t>Agari Ü.
Ödenen Vergi</t>
  </si>
  <si>
    <t>Hesaplanan
Gelir Vergisi</t>
  </si>
  <si>
    <t>Ödenecek
Gelir V.</t>
  </si>
  <si>
    <t>Hesaplanan
Vergi Küm.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</si>
</sst>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#,##0\ &quot;₺&quot;;[Red]\-#,##0\ &quot;₺&quot;"/>
    <numFmt numFmtId="165" formatCode="#,##0.00\ &quot;₺&quot;;[Red]\-#,##0.00\ &quot;₺&quot;"/>
    <numFmt numFmtId="166" formatCode="0.000%"/>
    <numFmt numFmtId="167" formatCode="0.0%"/>
    <numFmt numFmtId="168" formatCode="_-[$₺-41F]* #,##0.00_-;\-[$₺-41F]* #,##0.00_-;_-[$₺-41F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3" applyFont="1" applyBorder="1" applyAlignment="1">
      <alignment horizontal="center"/>
    </xf>
    <xf numFmtId="166" fontId="0" fillId="0" borderId="0" xfId="3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167" fontId="0" fillId="0" borderId="0" xfId="3" applyNumberFormat="1" applyFont="1" applyBorder="1" applyAlignment="1">
      <alignment horizontal="center"/>
    </xf>
    <xf numFmtId="0" fontId="0" fillId="0" borderId="9" xfId="0" applyFill="1" applyBorder="1" applyAlignment="1">
      <alignment horizontal="center" vertical="center" wrapText="1" shrinkToFit="1"/>
    </xf>
    <xf numFmtId="167" fontId="0" fillId="0" borderId="0" xfId="3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2" borderId="0" xfId="0" applyFill="1" applyBorder="1" applyAlignment="1">
      <alignment horizontal="center" vertical="center" wrapText="1" shrinkToFit="1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0" borderId="0" xfId="0" applyNumberFormat="1" applyBorder="1"/>
    <xf numFmtId="0" fontId="0" fillId="0" borderId="0" xfId="0" applyFill="1" applyBorder="1" applyAlignment="1">
      <alignment horizontal="center" vertical="center" wrapText="1" shrinkToFit="1"/>
    </xf>
    <xf numFmtId="1" fontId="0" fillId="0" borderId="0" xfId="0" applyNumberFormat="1" applyFill="1" applyBorder="1" applyAlignment="1">
      <alignment horizontal="center"/>
    </xf>
    <xf numFmtId="0" fontId="0" fillId="0" borderId="12" xfId="0" applyFill="1" applyBorder="1"/>
    <xf numFmtId="0" fontId="0" fillId="2" borderId="12" xfId="0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3" xfId="0" applyBorder="1"/>
    <xf numFmtId="0" fontId="0" fillId="2" borderId="13" xfId="0" applyFill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0" xfId="0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6" fillId="0" borderId="0" xfId="0" applyFont="1" applyFill="1" applyBorder="1"/>
    <xf numFmtId="165" fontId="0" fillId="0" borderId="13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9" fontId="0" fillId="2" borderId="0" xfId="3" applyFont="1" applyFill="1" applyBorder="1" applyAlignment="1">
      <alignment horizontal="center"/>
    </xf>
    <xf numFmtId="9" fontId="0" fillId="2" borderId="4" xfId="3" applyFont="1" applyFill="1" applyBorder="1" applyAlignment="1">
      <alignment horizontal="center"/>
    </xf>
    <xf numFmtId="167" fontId="0" fillId="0" borderId="0" xfId="3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2" xfId="0" applyFill="1" applyBorder="1" applyAlignment="1">
      <alignment horizontal="center" vertical="center" wrapText="1" shrinkToFit="1"/>
    </xf>
    <xf numFmtId="168" fontId="0" fillId="0" borderId="0" xfId="3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2" xfId="0" applyBorder="1"/>
  </cellXfs>
  <cellStyles count="4">
    <cellStyle name="Normal" xfId="0" builtinId="0"/>
    <cellStyle name="Yüzde" xfId="3" builtinId="5"/>
    <cellStyle name="Yüzde 2" xfId="1" xr:uid="{00000000-0005-0000-0000-000002000000}"/>
    <cellStyle name="Yüzde 3" xfId="2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W24"/>
  <sheetViews>
    <sheetView tabSelected="1"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8" sqref="C8"/>
    </sheetView>
  </sheetViews>
  <sheetFormatPr defaultColWidth="9.140625" defaultRowHeight="15" x14ac:dyDescent="0.25"/>
  <cols>
    <col min="1" max="1" width="11.7109375" style="1" customWidth="1"/>
    <col min="2" max="2" width="9" style="1" customWidth="1"/>
    <col min="3" max="3" width="13.7109375" style="15" customWidth="1"/>
    <col min="4" max="4" width="11" style="15" customWidth="1"/>
    <col min="5" max="6" width="9.5703125" style="1" customWidth="1"/>
    <col min="7" max="8" width="10.140625" style="1" customWidth="1"/>
    <col min="9" max="11" width="9.28515625" style="1" customWidth="1"/>
    <col min="12" max="14" width="10.140625" style="1" customWidth="1"/>
    <col min="15" max="16" width="13.7109375" style="1" bestFit="1" customWidth="1"/>
    <col min="17" max="17" width="13.42578125" style="1" customWidth="1"/>
    <col min="18" max="18" width="12" style="1" customWidth="1"/>
    <col min="19" max="20" width="9.140625" style="1" customWidth="1"/>
    <col min="21" max="21" width="13.5703125" style="8" bestFit="1" customWidth="1"/>
    <col min="22" max="16384" width="9.140625" style="1"/>
  </cols>
  <sheetData>
    <row r="1" spans="1:23" ht="18.75" x14ac:dyDescent="0.3"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3" s="10" customFormat="1" ht="30" x14ac:dyDescent="0.25">
      <c r="A2" s="40" t="s">
        <v>10</v>
      </c>
      <c r="B2" s="40" t="s">
        <v>33</v>
      </c>
      <c r="C2" s="39" t="s">
        <v>8</v>
      </c>
      <c r="D2" s="39" t="s">
        <v>11</v>
      </c>
      <c r="E2" s="12" t="s">
        <v>12</v>
      </c>
      <c r="F2" s="12" t="s">
        <v>35</v>
      </c>
      <c r="G2" s="11" t="s">
        <v>15</v>
      </c>
      <c r="H2" s="11" t="s">
        <v>14</v>
      </c>
      <c r="I2" s="11" t="s">
        <v>44</v>
      </c>
      <c r="J2" s="14" t="s">
        <v>31</v>
      </c>
      <c r="K2" s="14" t="s">
        <v>28</v>
      </c>
      <c r="L2" s="11" t="s">
        <v>7</v>
      </c>
      <c r="M2" s="11" t="s">
        <v>46</v>
      </c>
      <c r="N2" s="11" t="s">
        <v>13</v>
      </c>
      <c r="O2" s="11" t="s">
        <v>51</v>
      </c>
      <c r="P2" s="11" t="s">
        <v>53</v>
      </c>
      <c r="Q2" s="11" t="s">
        <v>49</v>
      </c>
      <c r="R2" s="11" t="s">
        <v>52</v>
      </c>
      <c r="S2" s="11" t="s">
        <v>2</v>
      </c>
      <c r="T2" s="11" t="s">
        <v>33</v>
      </c>
      <c r="U2" s="11" t="s">
        <v>5</v>
      </c>
    </row>
    <row r="3" spans="1:23" s="10" customFormat="1" x14ac:dyDescent="0.25">
      <c r="A3" s="1" t="s">
        <v>26</v>
      </c>
      <c r="B3" s="2"/>
      <c r="C3" s="18">
        <v>0</v>
      </c>
      <c r="D3" s="18"/>
      <c r="E3" s="7">
        <f>C3+D3</f>
        <v>0</v>
      </c>
      <c r="F3" s="7">
        <f>E3</f>
        <v>0</v>
      </c>
      <c r="G3" s="9">
        <f>IF((E3&gt;SGK_tv_old),(E3-SGK_tv_old),0)</f>
        <v>0</v>
      </c>
      <c r="H3" s="9"/>
      <c r="J3" s="22"/>
      <c r="K3" s="22"/>
    </row>
    <row r="4" spans="1:23" s="10" customFormat="1" x14ac:dyDescent="0.25">
      <c r="A4" s="8" t="s">
        <v>27</v>
      </c>
      <c r="B4" s="47"/>
      <c r="C4" s="18">
        <v>0</v>
      </c>
      <c r="D4" s="18"/>
      <c r="E4" s="7">
        <f t="shared" ref="E4" si="0">C4+D4</f>
        <v>0</v>
      </c>
      <c r="F4" s="7">
        <f>E4+G3+H3</f>
        <v>0</v>
      </c>
      <c r="G4" s="9">
        <f>IF((E4&gt;SGK_tv_old),(E4-SGK_tv_old),0)</f>
        <v>0</v>
      </c>
      <c r="H4" s="9">
        <f>IF((G3+E4)&gt;SGK_tv_old,G3+E4-SGK_tv_old,0)</f>
        <v>0</v>
      </c>
      <c r="J4" s="22"/>
      <c r="K4" s="22"/>
    </row>
    <row r="5" spans="1:23" x14ac:dyDescent="0.25">
      <c r="A5" s="31" t="s">
        <v>16</v>
      </c>
      <c r="B5" s="33" t="s">
        <v>34</v>
      </c>
      <c r="C5" s="32">
        <v>6000</v>
      </c>
      <c r="D5" s="33"/>
      <c r="E5" s="34">
        <f>C5+D5</f>
        <v>6000</v>
      </c>
      <c r="F5" s="34">
        <f t="shared" ref="F5:F16" si="1">E5+H4</f>
        <v>6000</v>
      </c>
      <c r="G5" s="35">
        <f t="shared" ref="G5:G16" si="2">IF((E5&gt;SGK_tv),(E5-SGK_tv),0)</f>
        <v>0</v>
      </c>
      <c r="H5" s="35">
        <f t="shared" ref="H5:H16" si="3">IF((G4+E5)&gt;SGK_tv,G4+E5-SGK_tv,0)</f>
        <v>0</v>
      </c>
      <c r="I5" s="35">
        <f t="shared" ref="I5:I16" si="4">IF(F5&gt;(SGK_tv),SGK_tv*SGK,F5*SGK)+IF(F5&gt;SGK_tv,SGK_tv*Issizlik,F5*Issizlik)</f>
        <v>900.00000000000011</v>
      </c>
      <c r="J5" s="36"/>
      <c r="K5" s="37">
        <f t="shared" ref="K5:K16" si="5">IF((IF(J5&gt;E5*0.15,E5*0.15,J5))&gt;(Asgari_Ücret*12),(Asgari_Ücret*12),(IF(J5&gt;E5*0.15,E5*0.15,J5)))</f>
        <v>0</v>
      </c>
      <c r="L5" s="37">
        <f t="shared" ref="L5:L16" si="6">E5-I5-K5</f>
        <v>5100</v>
      </c>
      <c r="M5" s="34">
        <f>L5</f>
        <v>5100</v>
      </c>
      <c r="N5" s="38">
        <f t="shared" ref="N5:N16" si="7">VLOOKUP(M5,GV_Dilimleri,3,TRUE)</f>
        <v>0.15</v>
      </c>
      <c r="O5" s="34">
        <f>VLOOKUP(M5,GV_Dilimleri,4,TRUE)+(M5-VLOOKUP(M5,GV_Dilimleri,1,TRUE))*VLOOKUP(M5,GV_Dilimleri,3,TRUE)</f>
        <v>765</v>
      </c>
      <c r="P5" s="34">
        <f>O5</f>
        <v>765</v>
      </c>
      <c r="Q5" s="34">
        <f>DATA!D19</f>
        <v>638.00999999999988</v>
      </c>
      <c r="R5" s="38">
        <f>O5-Q5</f>
        <v>126.99000000000012</v>
      </c>
      <c r="S5" s="34">
        <f>(E5-Asgari_Ücret)*DATA!$B$6</f>
        <v>7.5596400000000008</v>
      </c>
      <c r="T5" s="34">
        <f t="shared" ref="T5:T16" si="8">IF(B5="E",IF(F5&gt;SGK_tv,SGK_tv*0.03,F5*0.03),0)</f>
        <v>0</v>
      </c>
      <c r="U5" s="42">
        <f t="shared" ref="U5:U16" si="9">E5-I5-R5-S5-T5</f>
        <v>4965.4503599999998</v>
      </c>
      <c r="V5" s="17"/>
      <c r="W5" s="17"/>
    </row>
    <row r="6" spans="1:23" x14ac:dyDescent="0.25">
      <c r="A6" s="1" t="s">
        <v>17</v>
      </c>
      <c r="B6" s="20" t="s">
        <v>34</v>
      </c>
      <c r="C6" s="18">
        <f>C5</f>
        <v>6000</v>
      </c>
      <c r="D6" s="20"/>
      <c r="E6" s="7">
        <f t="shared" ref="E6:E16" si="10">C6+D6</f>
        <v>6000</v>
      </c>
      <c r="F6" s="7">
        <f t="shared" si="1"/>
        <v>6000</v>
      </c>
      <c r="G6" s="9">
        <f t="shared" si="2"/>
        <v>0</v>
      </c>
      <c r="H6" s="9">
        <f t="shared" si="3"/>
        <v>0</v>
      </c>
      <c r="I6" s="9">
        <f t="shared" si="4"/>
        <v>900.00000000000011</v>
      </c>
      <c r="J6" s="19"/>
      <c r="K6" s="23">
        <f t="shared" si="5"/>
        <v>0</v>
      </c>
      <c r="L6" s="7">
        <f t="shared" si="6"/>
        <v>5100</v>
      </c>
      <c r="M6" s="7">
        <f t="shared" ref="M6:M16" si="11">M5+L6</f>
        <v>10200</v>
      </c>
      <c r="N6" s="16">
        <f t="shared" si="7"/>
        <v>0.15</v>
      </c>
      <c r="O6" s="7">
        <f t="shared" ref="O6:O16" si="12">VLOOKUP(M6,GV_Dilimleri,4,TRUE)+(M6-VLOOKUP(M6,GV_Dilimleri,1,TRUE))*VLOOKUP(M6,GV_Dilimleri,3,TRUE)-P5</f>
        <v>765</v>
      </c>
      <c r="P6" s="7">
        <f>P5+O6</f>
        <v>1530</v>
      </c>
      <c r="Q6" s="7">
        <f>DATA!D20</f>
        <v>638.00999999999988</v>
      </c>
      <c r="R6" s="16">
        <f t="shared" ref="R6:R16" si="13">O6-Q6</f>
        <v>126.99000000000012</v>
      </c>
      <c r="S6" s="7">
        <f>(E6-Asgari_Ücret)*DATA!$B$6</f>
        <v>7.5596400000000008</v>
      </c>
      <c r="T6" s="7">
        <f t="shared" si="8"/>
        <v>0</v>
      </c>
      <c r="U6" s="43">
        <f t="shared" si="9"/>
        <v>4965.4503599999998</v>
      </c>
    </row>
    <row r="7" spans="1:23" x14ac:dyDescent="0.25">
      <c r="A7" s="8" t="s">
        <v>18</v>
      </c>
      <c r="B7" s="20" t="s">
        <v>34</v>
      </c>
      <c r="C7" s="18">
        <f t="shared" ref="C7:C16" si="14">C6</f>
        <v>6000</v>
      </c>
      <c r="D7" s="20"/>
      <c r="E7" s="7">
        <f>C7+D7</f>
        <v>6000</v>
      </c>
      <c r="F7" s="7">
        <f>E7+H6</f>
        <v>6000</v>
      </c>
      <c r="G7" s="9">
        <f t="shared" si="2"/>
        <v>0</v>
      </c>
      <c r="H7" s="9">
        <f t="shared" si="3"/>
        <v>0</v>
      </c>
      <c r="I7" s="9">
        <f t="shared" si="4"/>
        <v>900.00000000000011</v>
      </c>
      <c r="J7" s="19"/>
      <c r="K7" s="23">
        <f t="shared" si="5"/>
        <v>0</v>
      </c>
      <c r="L7" s="7">
        <f t="shared" si="6"/>
        <v>5100</v>
      </c>
      <c r="M7" s="7">
        <f>M6+L7</f>
        <v>15300</v>
      </c>
      <c r="N7" s="16">
        <f t="shared" si="7"/>
        <v>0.15</v>
      </c>
      <c r="O7" s="7">
        <f t="shared" si="12"/>
        <v>765</v>
      </c>
      <c r="P7" s="7">
        <f t="shared" ref="P7:P15" si="15">P6+O7</f>
        <v>2295</v>
      </c>
      <c r="Q7" s="7">
        <f>DATA!D21</f>
        <v>638.01</v>
      </c>
      <c r="R7" s="16">
        <f t="shared" si="13"/>
        <v>126.99000000000001</v>
      </c>
      <c r="S7" s="7">
        <f>(E7-Asgari_Ücret)*DATA!$B$6</f>
        <v>7.5596400000000008</v>
      </c>
      <c r="T7" s="7">
        <f t="shared" si="8"/>
        <v>0</v>
      </c>
      <c r="U7" s="43">
        <f t="shared" si="9"/>
        <v>4965.4503599999998</v>
      </c>
    </row>
    <row r="8" spans="1:23" x14ac:dyDescent="0.25">
      <c r="A8" s="1" t="s">
        <v>19</v>
      </c>
      <c r="B8" s="20" t="s">
        <v>34</v>
      </c>
      <c r="C8" s="18">
        <f t="shared" si="14"/>
        <v>6000</v>
      </c>
      <c r="D8" s="20"/>
      <c r="E8" s="7">
        <f t="shared" si="10"/>
        <v>6000</v>
      </c>
      <c r="F8" s="7">
        <f t="shared" si="1"/>
        <v>6000</v>
      </c>
      <c r="G8" s="9">
        <f t="shared" si="2"/>
        <v>0</v>
      </c>
      <c r="H8" s="9">
        <f t="shared" si="3"/>
        <v>0</v>
      </c>
      <c r="I8" s="9">
        <f t="shared" si="4"/>
        <v>900.00000000000011</v>
      </c>
      <c r="J8" s="19"/>
      <c r="K8" s="23">
        <f t="shared" si="5"/>
        <v>0</v>
      </c>
      <c r="L8" s="7">
        <f t="shared" si="6"/>
        <v>5100</v>
      </c>
      <c r="M8" s="7">
        <f t="shared" si="11"/>
        <v>20400</v>
      </c>
      <c r="N8" s="16">
        <f t="shared" si="7"/>
        <v>0.15</v>
      </c>
      <c r="O8" s="7">
        <f t="shared" si="12"/>
        <v>765</v>
      </c>
      <c r="P8" s="7">
        <f t="shared" si="15"/>
        <v>3060</v>
      </c>
      <c r="Q8" s="7">
        <f>DATA!D22</f>
        <v>638.00999999999976</v>
      </c>
      <c r="R8" s="16">
        <f t="shared" si="13"/>
        <v>126.99000000000024</v>
      </c>
      <c r="S8" s="7">
        <f>(E8-Asgari_Ücret)*DATA!$B$6</f>
        <v>7.5596400000000008</v>
      </c>
      <c r="T8" s="7">
        <f t="shared" si="8"/>
        <v>0</v>
      </c>
      <c r="U8" s="43">
        <f t="shared" si="9"/>
        <v>4965.4503599999998</v>
      </c>
    </row>
    <row r="9" spans="1:23" x14ac:dyDescent="0.25">
      <c r="A9" s="1" t="s">
        <v>20</v>
      </c>
      <c r="B9" s="20" t="s">
        <v>34</v>
      </c>
      <c r="C9" s="18">
        <f t="shared" si="14"/>
        <v>6000</v>
      </c>
      <c r="D9" s="20"/>
      <c r="E9" s="7">
        <f t="shared" si="10"/>
        <v>6000</v>
      </c>
      <c r="F9" s="7">
        <f t="shared" si="1"/>
        <v>6000</v>
      </c>
      <c r="G9" s="9">
        <f t="shared" si="2"/>
        <v>0</v>
      </c>
      <c r="H9" s="9">
        <f t="shared" si="3"/>
        <v>0</v>
      </c>
      <c r="I9" s="9">
        <f t="shared" si="4"/>
        <v>900.00000000000011</v>
      </c>
      <c r="J9" s="19"/>
      <c r="K9" s="23">
        <f t="shared" si="5"/>
        <v>0</v>
      </c>
      <c r="L9" s="7">
        <f t="shared" si="6"/>
        <v>5100</v>
      </c>
      <c r="M9" s="7">
        <f t="shared" si="11"/>
        <v>25500</v>
      </c>
      <c r="N9" s="16">
        <f>VLOOKUP(M9,GV_Dilimleri,3,TRUE)</f>
        <v>0.15</v>
      </c>
      <c r="O9" s="7">
        <f t="shared" si="12"/>
        <v>765</v>
      </c>
      <c r="P9" s="7">
        <f t="shared" si="15"/>
        <v>3825</v>
      </c>
      <c r="Q9" s="7">
        <f>DATA!D23</f>
        <v>638.01000000000022</v>
      </c>
      <c r="R9" s="16">
        <f t="shared" si="13"/>
        <v>126.98999999999978</v>
      </c>
      <c r="S9" s="7">
        <f>(E9-Asgari_Ücret)*DATA!$B$6</f>
        <v>7.5596400000000008</v>
      </c>
      <c r="T9" s="7">
        <f t="shared" si="8"/>
        <v>0</v>
      </c>
      <c r="U9" s="43">
        <f t="shared" si="9"/>
        <v>4965.4503599999998</v>
      </c>
    </row>
    <row r="10" spans="1:23" x14ac:dyDescent="0.25">
      <c r="A10" s="8" t="s">
        <v>21</v>
      </c>
      <c r="B10" s="20" t="s">
        <v>34</v>
      </c>
      <c r="C10" s="18">
        <f t="shared" si="14"/>
        <v>6000</v>
      </c>
      <c r="D10" s="20"/>
      <c r="E10" s="7">
        <f t="shared" si="10"/>
        <v>6000</v>
      </c>
      <c r="F10" s="7">
        <f t="shared" si="1"/>
        <v>6000</v>
      </c>
      <c r="G10" s="9">
        <f t="shared" si="2"/>
        <v>0</v>
      </c>
      <c r="H10" s="9">
        <f t="shared" si="3"/>
        <v>0</v>
      </c>
      <c r="I10" s="9">
        <f t="shared" si="4"/>
        <v>900.00000000000011</v>
      </c>
      <c r="J10" s="19"/>
      <c r="K10" s="23">
        <f t="shared" si="5"/>
        <v>0</v>
      </c>
      <c r="L10" s="7">
        <f t="shared" si="6"/>
        <v>5100</v>
      </c>
      <c r="M10" s="7">
        <f t="shared" si="11"/>
        <v>30600</v>
      </c>
      <c r="N10" s="16">
        <f>VLOOKUP(M10,GV_Dilimleri,3,TRUE)</f>
        <v>0.15</v>
      </c>
      <c r="O10" s="7">
        <f t="shared" si="12"/>
        <v>765</v>
      </c>
      <c r="P10" s="7">
        <f t="shared" si="15"/>
        <v>4590</v>
      </c>
      <c r="Q10" s="7">
        <f>DATA!D24</f>
        <v>638.01000000000022</v>
      </c>
      <c r="R10" s="16">
        <f t="shared" si="13"/>
        <v>126.98999999999978</v>
      </c>
      <c r="S10" s="7">
        <f>(E10-Asgari_Ücret)*DATA!$B$6</f>
        <v>7.5596400000000008</v>
      </c>
      <c r="T10" s="7">
        <f t="shared" si="8"/>
        <v>0</v>
      </c>
      <c r="U10" s="43">
        <f t="shared" si="9"/>
        <v>4965.4503599999998</v>
      </c>
    </row>
    <row r="11" spans="1:23" x14ac:dyDescent="0.25">
      <c r="A11" s="1" t="s">
        <v>22</v>
      </c>
      <c r="B11" s="20" t="s">
        <v>34</v>
      </c>
      <c r="C11" s="18">
        <f>C10</f>
        <v>6000</v>
      </c>
      <c r="D11" s="20"/>
      <c r="E11" s="7">
        <f t="shared" si="10"/>
        <v>6000</v>
      </c>
      <c r="F11" s="7">
        <f t="shared" si="1"/>
        <v>6000</v>
      </c>
      <c r="G11" s="9">
        <f t="shared" si="2"/>
        <v>0</v>
      </c>
      <c r="H11" s="9">
        <f t="shared" si="3"/>
        <v>0</v>
      </c>
      <c r="I11" s="9">
        <f t="shared" si="4"/>
        <v>900.00000000000011</v>
      </c>
      <c r="J11" s="19"/>
      <c r="K11" s="23">
        <f t="shared" si="5"/>
        <v>0</v>
      </c>
      <c r="L11" s="7">
        <f t="shared" si="6"/>
        <v>5100</v>
      </c>
      <c r="M11" s="7">
        <f t="shared" si="11"/>
        <v>35700</v>
      </c>
      <c r="N11" s="16">
        <f t="shared" si="7"/>
        <v>0.2</v>
      </c>
      <c r="O11" s="7">
        <f t="shared" si="12"/>
        <v>950</v>
      </c>
      <c r="P11" s="7">
        <f t="shared" si="15"/>
        <v>5540</v>
      </c>
      <c r="Q11" s="7">
        <f>DATA!D25</f>
        <v>638.01000000000067</v>
      </c>
      <c r="R11" s="16">
        <f t="shared" si="13"/>
        <v>311.98999999999933</v>
      </c>
      <c r="S11" s="7">
        <f>(E11-Asgari_Ücret)*DATA!$B$6</f>
        <v>7.5596400000000008</v>
      </c>
      <c r="T11" s="7">
        <f t="shared" si="8"/>
        <v>0</v>
      </c>
      <c r="U11" s="43">
        <f t="shared" si="9"/>
        <v>4780.4503599999998</v>
      </c>
    </row>
    <row r="12" spans="1:23" x14ac:dyDescent="0.25">
      <c r="A12" s="1" t="s">
        <v>23</v>
      </c>
      <c r="B12" s="20" t="s">
        <v>34</v>
      </c>
      <c r="C12" s="18">
        <f>C11</f>
        <v>6000</v>
      </c>
      <c r="D12" s="20"/>
      <c r="E12" s="7">
        <f t="shared" si="10"/>
        <v>6000</v>
      </c>
      <c r="F12" s="7">
        <f t="shared" si="1"/>
        <v>6000</v>
      </c>
      <c r="G12" s="9">
        <f t="shared" si="2"/>
        <v>0</v>
      </c>
      <c r="H12" s="9">
        <f t="shared" si="3"/>
        <v>0</v>
      </c>
      <c r="I12" s="9">
        <f t="shared" si="4"/>
        <v>900.00000000000011</v>
      </c>
      <c r="J12" s="19"/>
      <c r="K12" s="23">
        <f t="shared" si="5"/>
        <v>0</v>
      </c>
      <c r="L12" s="7">
        <f t="shared" si="6"/>
        <v>5100</v>
      </c>
      <c r="M12" s="7">
        <f t="shared" si="11"/>
        <v>40800</v>
      </c>
      <c r="N12" s="16">
        <f t="shared" si="7"/>
        <v>0.2</v>
      </c>
      <c r="O12" s="7">
        <f t="shared" si="12"/>
        <v>1020</v>
      </c>
      <c r="P12" s="7">
        <f t="shared" si="15"/>
        <v>6560</v>
      </c>
      <c r="Q12" s="7">
        <f>DATA!D26</f>
        <v>739.36999999999989</v>
      </c>
      <c r="R12" s="16">
        <f t="shared" si="13"/>
        <v>280.63000000000011</v>
      </c>
      <c r="S12" s="7">
        <f>(E12-Asgari_Ücret)*DATA!$B$6</f>
        <v>7.5596400000000008</v>
      </c>
      <c r="T12" s="7">
        <f t="shared" si="8"/>
        <v>0</v>
      </c>
      <c r="U12" s="43">
        <f t="shared" si="9"/>
        <v>4811.8103599999995</v>
      </c>
    </row>
    <row r="13" spans="1:23" x14ac:dyDescent="0.25">
      <c r="A13" s="8" t="s">
        <v>24</v>
      </c>
      <c r="B13" s="20" t="s">
        <v>34</v>
      </c>
      <c r="C13" s="18">
        <f>C12</f>
        <v>6000</v>
      </c>
      <c r="D13" s="20"/>
      <c r="E13" s="7">
        <f t="shared" si="10"/>
        <v>6000</v>
      </c>
      <c r="F13" s="7">
        <f t="shared" si="1"/>
        <v>6000</v>
      </c>
      <c r="G13" s="9">
        <f t="shared" si="2"/>
        <v>0</v>
      </c>
      <c r="H13" s="9">
        <f t="shared" si="3"/>
        <v>0</v>
      </c>
      <c r="I13" s="9">
        <f t="shared" si="4"/>
        <v>900.00000000000011</v>
      </c>
      <c r="J13" s="19"/>
      <c r="K13" s="23">
        <f t="shared" si="5"/>
        <v>0</v>
      </c>
      <c r="L13" s="7">
        <f t="shared" si="6"/>
        <v>5100</v>
      </c>
      <c r="M13" s="7">
        <f t="shared" si="11"/>
        <v>45900</v>
      </c>
      <c r="N13" s="16">
        <f t="shared" si="7"/>
        <v>0.2</v>
      </c>
      <c r="O13" s="7">
        <f t="shared" si="12"/>
        <v>1020</v>
      </c>
      <c r="P13" s="7">
        <f t="shared" si="15"/>
        <v>7580</v>
      </c>
      <c r="Q13" s="7">
        <f>DATA!D27</f>
        <v>850.68000000000029</v>
      </c>
      <c r="R13" s="16">
        <f t="shared" si="13"/>
        <v>169.31999999999971</v>
      </c>
      <c r="S13" s="7">
        <f>(E13-Asgari_Ücret)*DATA!$B$6</f>
        <v>7.5596400000000008</v>
      </c>
      <c r="T13" s="7">
        <f t="shared" si="8"/>
        <v>0</v>
      </c>
      <c r="U13" s="43">
        <f t="shared" si="9"/>
        <v>4923.1203599999999</v>
      </c>
    </row>
    <row r="14" spans="1:23" x14ac:dyDescent="0.25">
      <c r="A14" s="1" t="s">
        <v>25</v>
      </c>
      <c r="B14" s="20" t="s">
        <v>34</v>
      </c>
      <c r="C14" s="18">
        <f t="shared" si="14"/>
        <v>6000</v>
      </c>
      <c r="D14" s="20"/>
      <c r="E14" s="7">
        <f t="shared" si="10"/>
        <v>6000</v>
      </c>
      <c r="F14" s="7">
        <f t="shared" si="1"/>
        <v>6000</v>
      </c>
      <c r="G14" s="9">
        <f t="shared" si="2"/>
        <v>0</v>
      </c>
      <c r="H14" s="9">
        <f t="shared" si="3"/>
        <v>0</v>
      </c>
      <c r="I14" s="9">
        <f t="shared" si="4"/>
        <v>900.00000000000011</v>
      </c>
      <c r="J14" s="19"/>
      <c r="K14" s="23">
        <f t="shared" si="5"/>
        <v>0</v>
      </c>
      <c r="L14" s="7">
        <f t="shared" si="6"/>
        <v>5100</v>
      </c>
      <c r="M14" s="7">
        <f t="shared" si="11"/>
        <v>51000</v>
      </c>
      <c r="N14" s="16">
        <f t="shared" si="7"/>
        <v>0.2</v>
      </c>
      <c r="O14" s="7">
        <f t="shared" si="12"/>
        <v>1020</v>
      </c>
      <c r="P14" s="7">
        <f>P13+O14</f>
        <v>8600</v>
      </c>
      <c r="Q14" s="7">
        <f>DATA!D28</f>
        <v>850.68000000000029</v>
      </c>
      <c r="R14" s="16">
        <f t="shared" si="13"/>
        <v>169.31999999999971</v>
      </c>
      <c r="S14" s="7">
        <f>(E14-Asgari_Ücret)*DATA!$B$6</f>
        <v>7.5596400000000008</v>
      </c>
      <c r="T14" s="7">
        <f t="shared" si="8"/>
        <v>0</v>
      </c>
      <c r="U14" s="43">
        <f t="shared" si="9"/>
        <v>4923.1203599999999</v>
      </c>
    </row>
    <row r="15" spans="1:23" x14ac:dyDescent="0.25">
      <c r="A15" s="1" t="s">
        <v>26</v>
      </c>
      <c r="B15" s="20" t="s">
        <v>34</v>
      </c>
      <c r="C15" s="18">
        <f t="shared" si="14"/>
        <v>6000</v>
      </c>
      <c r="D15" s="20"/>
      <c r="E15" s="7">
        <f t="shared" si="10"/>
        <v>6000</v>
      </c>
      <c r="F15" s="7">
        <f t="shared" si="1"/>
        <v>6000</v>
      </c>
      <c r="G15" s="9">
        <f t="shared" si="2"/>
        <v>0</v>
      </c>
      <c r="H15" s="9">
        <f t="shared" si="3"/>
        <v>0</v>
      </c>
      <c r="I15" s="9">
        <f t="shared" si="4"/>
        <v>900.00000000000011</v>
      </c>
      <c r="J15" s="19"/>
      <c r="K15" s="23">
        <f t="shared" si="5"/>
        <v>0</v>
      </c>
      <c r="L15" s="7">
        <f t="shared" si="6"/>
        <v>5100</v>
      </c>
      <c r="M15" s="7">
        <f t="shared" si="11"/>
        <v>56100</v>
      </c>
      <c r="N15" s="16">
        <f t="shared" si="7"/>
        <v>0.2</v>
      </c>
      <c r="O15" s="7">
        <f t="shared" si="12"/>
        <v>1020</v>
      </c>
      <c r="P15" s="7">
        <f t="shared" si="15"/>
        <v>9620</v>
      </c>
      <c r="Q15" s="7">
        <f>DATA!D29</f>
        <v>850.68000000000029</v>
      </c>
      <c r="R15" s="16">
        <f t="shared" si="13"/>
        <v>169.31999999999971</v>
      </c>
      <c r="S15" s="7">
        <f>(E15-Asgari_Ücret)*DATA!$B$6</f>
        <v>7.5596400000000008</v>
      </c>
      <c r="T15" s="7">
        <f t="shared" si="8"/>
        <v>0</v>
      </c>
      <c r="U15" s="43">
        <f t="shared" si="9"/>
        <v>4923.1203599999999</v>
      </c>
    </row>
    <row r="16" spans="1:23" x14ac:dyDescent="0.25">
      <c r="A16" s="24" t="s">
        <v>27</v>
      </c>
      <c r="B16" s="25" t="s">
        <v>34</v>
      </c>
      <c r="C16" s="60">
        <f t="shared" si="14"/>
        <v>6000</v>
      </c>
      <c r="D16" s="25"/>
      <c r="E16" s="26">
        <f t="shared" si="10"/>
        <v>6000</v>
      </c>
      <c r="F16" s="26">
        <f t="shared" si="1"/>
        <v>6000</v>
      </c>
      <c r="G16" s="27">
        <f t="shared" si="2"/>
        <v>0</v>
      </c>
      <c r="H16" s="27">
        <f t="shared" si="3"/>
        <v>0</v>
      </c>
      <c r="I16" s="27">
        <f t="shared" si="4"/>
        <v>900.00000000000011</v>
      </c>
      <c r="J16" s="28"/>
      <c r="K16" s="29">
        <f t="shared" si="5"/>
        <v>0</v>
      </c>
      <c r="L16" s="26">
        <f t="shared" si="6"/>
        <v>5100</v>
      </c>
      <c r="M16" s="26">
        <f t="shared" si="11"/>
        <v>61200</v>
      </c>
      <c r="N16" s="30">
        <f t="shared" si="7"/>
        <v>0.2</v>
      </c>
      <c r="O16" s="26">
        <f t="shared" si="12"/>
        <v>1020</v>
      </c>
      <c r="P16" s="26">
        <f>P15+O16</f>
        <v>10640</v>
      </c>
      <c r="Q16" s="26">
        <f>DATA!D30</f>
        <v>850.68000000000029</v>
      </c>
      <c r="R16" s="30">
        <f t="shared" si="13"/>
        <v>169.31999999999971</v>
      </c>
      <c r="S16" s="26">
        <f>(E16-Asgari_Ücret)*DATA!$B$6</f>
        <v>7.5596400000000008</v>
      </c>
      <c r="T16" s="26">
        <f t="shared" si="8"/>
        <v>0</v>
      </c>
      <c r="U16" s="44">
        <f t="shared" si="9"/>
        <v>4923.1203599999999</v>
      </c>
      <c r="V16" s="21"/>
      <c r="W16" s="17"/>
    </row>
    <row r="17" spans="1:21" ht="15.75" x14ac:dyDescent="0.25">
      <c r="C17" s="61">
        <f>SUM(C3:C16)</f>
        <v>72000</v>
      </c>
      <c r="E17" s="23"/>
      <c r="J17" s="21"/>
      <c r="K17" s="21"/>
      <c r="Q17" s="21">
        <f>SUM(Q5:Q16)</f>
        <v>8608.1600000000017</v>
      </c>
      <c r="T17" s="41" t="s">
        <v>29</v>
      </c>
      <c r="U17" s="45">
        <f>SUM(U5:U16)</f>
        <v>59077.444319999995</v>
      </c>
    </row>
    <row r="18" spans="1:21" ht="15.75" x14ac:dyDescent="0.25">
      <c r="T18" s="41" t="s">
        <v>30</v>
      </c>
      <c r="U18" s="46">
        <f>U17/12</f>
        <v>4923.1203599999999</v>
      </c>
    </row>
    <row r="20" spans="1:21" x14ac:dyDescent="0.25">
      <c r="A20" s="1" t="s">
        <v>37</v>
      </c>
      <c r="C20" s="56" t="s">
        <v>43</v>
      </c>
    </row>
    <row r="21" spans="1:21" x14ac:dyDescent="0.25">
      <c r="C21" s="56" t="s">
        <v>39</v>
      </c>
      <c r="D21" s="1"/>
    </row>
    <row r="22" spans="1:21" x14ac:dyDescent="0.25">
      <c r="C22" s="56" t="s">
        <v>40</v>
      </c>
      <c r="D22" s="1"/>
    </row>
    <row r="23" spans="1:21" x14ac:dyDescent="0.25">
      <c r="C23" s="56" t="s">
        <v>38</v>
      </c>
    </row>
    <row r="24" spans="1:21" x14ac:dyDescent="0.25">
      <c r="C24" s="56"/>
    </row>
  </sheetData>
  <autoFilter ref="A2:U5" xr:uid="{00000000-0009-0000-0000-000000000000}"/>
  <mergeCells count="1">
    <mergeCell ref="C1:U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E31"/>
  <sheetViews>
    <sheetView topLeftCell="A2" workbookViewId="0">
      <selection activeCell="G21" sqref="G21"/>
    </sheetView>
  </sheetViews>
  <sheetFormatPr defaultRowHeight="15" x14ac:dyDescent="0.25"/>
  <cols>
    <col min="1" max="1" width="15.85546875" style="1" customWidth="1"/>
    <col min="2" max="2" width="10.140625" style="2" bestFit="1" customWidth="1"/>
    <col min="3" max="3" width="9.140625" style="2"/>
    <col min="4" max="4" width="9.140625" style="1"/>
    <col min="5" max="5" width="11.42578125" customWidth="1"/>
    <col min="7" max="7" width="30.28515625" customWidth="1"/>
  </cols>
  <sheetData>
    <row r="1" spans="1:4" x14ac:dyDescent="0.25">
      <c r="A1" s="1" t="s">
        <v>0</v>
      </c>
      <c r="B1" s="3">
        <v>0.14000000000000001</v>
      </c>
    </row>
    <row r="2" spans="1:4" x14ac:dyDescent="0.25">
      <c r="A2" s="1" t="s">
        <v>9</v>
      </c>
      <c r="B2" s="13">
        <v>7.4999999999999997E-2</v>
      </c>
    </row>
    <row r="3" spans="1:4" x14ac:dyDescent="0.25">
      <c r="A3" s="1" t="s">
        <v>32</v>
      </c>
      <c r="B3" s="19">
        <v>26831.4</v>
      </c>
      <c r="C3" s="20" t="s">
        <v>36</v>
      </c>
    </row>
    <row r="4" spans="1:4" x14ac:dyDescent="0.25">
      <c r="A4" s="8" t="s">
        <v>6</v>
      </c>
      <c r="B4" s="19">
        <v>37530</v>
      </c>
      <c r="C4" s="20" t="s">
        <v>41</v>
      </c>
    </row>
    <row r="5" spans="1:4" x14ac:dyDescent="0.25">
      <c r="A5" s="1" t="s">
        <v>1</v>
      </c>
      <c r="B5" s="3">
        <v>0.01</v>
      </c>
    </row>
    <row r="6" spans="1:4" x14ac:dyDescent="0.25">
      <c r="A6" s="1" t="s">
        <v>2</v>
      </c>
      <c r="B6" s="4">
        <v>7.5900000000000004E-3</v>
      </c>
    </row>
    <row r="7" spans="1:4" x14ac:dyDescent="0.25">
      <c r="A7" s="8" t="s">
        <v>45</v>
      </c>
      <c r="B7" s="20">
        <v>5004</v>
      </c>
    </row>
    <row r="8" spans="1:4" ht="15.75" thickBot="1" x14ac:dyDescent="0.3"/>
    <row r="9" spans="1:4" ht="15.75" thickBot="1" x14ac:dyDescent="0.3">
      <c r="A9" s="63" t="s">
        <v>42</v>
      </c>
      <c r="B9" s="64"/>
      <c r="C9" s="64"/>
      <c r="D9" s="65"/>
    </row>
    <row r="10" spans="1:4" x14ac:dyDescent="0.25">
      <c r="A10" s="48" t="s">
        <v>3</v>
      </c>
      <c r="B10" s="49" t="s">
        <v>4</v>
      </c>
      <c r="C10" s="49"/>
      <c r="D10" s="50"/>
    </row>
    <row r="11" spans="1:4" x14ac:dyDescent="0.25">
      <c r="A11" s="6">
        <v>0</v>
      </c>
      <c r="B11" s="59">
        <v>32000</v>
      </c>
      <c r="C11" s="54">
        <v>0.15</v>
      </c>
      <c r="D11" s="5">
        <v>0</v>
      </c>
    </row>
    <row r="12" spans="1:4" x14ac:dyDescent="0.25">
      <c r="A12" s="57">
        <f>B11</f>
        <v>32000</v>
      </c>
      <c r="B12" s="59">
        <v>70000</v>
      </c>
      <c r="C12" s="54">
        <v>0.2</v>
      </c>
      <c r="D12" s="51">
        <v>4800</v>
      </c>
    </row>
    <row r="13" spans="1:4" x14ac:dyDescent="0.25">
      <c r="A13" s="57">
        <f>B12</f>
        <v>70000</v>
      </c>
      <c r="B13" s="59">
        <v>250000</v>
      </c>
      <c r="C13" s="54">
        <v>0.27</v>
      </c>
      <c r="D13" s="51">
        <v>12400</v>
      </c>
    </row>
    <row r="14" spans="1:4" x14ac:dyDescent="0.25">
      <c r="A14" s="57">
        <f>B13</f>
        <v>250000</v>
      </c>
      <c r="B14" s="59">
        <v>880000</v>
      </c>
      <c r="C14" s="54">
        <v>0.35</v>
      </c>
      <c r="D14" s="51">
        <v>61000</v>
      </c>
    </row>
    <row r="15" spans="1:4" ht="15.75" thickBot="1" x14ac:dyDescent="0.3">
      <c r="A15" s="58">
        <f>B14</f>
        <v>880000</v>
      </c>
      <c r="B15" s="53">
        <v>10000000</v>
      </c>
      <c r="C15" s="55">
        <v>0.4</v>
      </c>
      <c r="D15" s="52">
        <v>281500</v>
      </c>
    </row>
    <row r="18" spans="1:5" ht="45" x14ac:dyDescent="0.25">
      <c r="B18" s="11" t="s">
        <v>47</v>
      </c>
      <c r="C18" s="11" t="s">
        <v>48</v>
      </c>
      <c r="D18" s="11" t="s">
        <v>49</v>
      </c>
      <c r="E18" s="11" t="s">
        <v>50</v>
      </c>
    </row>
    <row r="19" spans="1:5" x14ac:dyDescent="0.25">
      <c r="A19" s="31" t="s">
        <v>16</v>
      </c>
      <c r="B19" s="34">
        <f>Asgari_Ücret*(1-(SGK+Issizlik))</f>
        <v>4253.3999999999996</v>
      </c>
      <c r="C19" s="38">
        <f t="shared" ref="C19:C30" si="0">VLOOKUP(B19,GV_Dilimleri,3,TRUE)</f>
        <v>0.15</v>
      </c>
      <c r="D19" s="1">
        <f>VLOOKUP(B19,GV_Dilimleri,4,TRUE)+(B19-VLOOKUP(B19,GV_Dilimleri,1,TRUE))*VLOOKUP(B19,GV_Dilimleri,3,TRUE)</f>
        <v>638.00999999999988</v>
      </c>
      <c r="E19">
        <f>D19</f>
        <v>638.00999999999988</v>
      </c>
    </row>
    <row r="20" spans="1:5" x14ac:dyDescent="0.25">
      <c r="A20" s="1" t="s">
        <v>17</v>
      </c>
      <c r="B20" s="7">
        <f t="shared" ref="B20:B30" si="1">Asgari_Ücret*(1-(SGK+Issizlik))+B19</f>
        <v>8506.7999999999993</v>
      </c>
      <c r="C20" s="16">
        <f t="shared" si="0"/>
        <v>0.15</v>
      </c>
      <c r="D20" s="1">
        <f t="shared" ref="D20:D30" si="2">VLOOKUP(B20,GV_Dilimleri,4,TRUE)+(B20-VLOOKUP(B20,GV_Dilimleri,1,TRUE))*VLOOKUP(B20,GV_Dilimleri,3,TRUE)-E19</f>
        <v>638.00999999999988</v>
      </c>
      <c r="E20">
        <f>E19+D20</f>
        <v>1276.0199999999998</v>
      </c>
    </row>
    <row r="21" spans="1:5" x14ac:dyDescent="0.25">
      <c r="A21" s="8" t="s">
        <v>18</v>
      </c>
      <c r="B21" s="7">
        <f t="shared" si="1"/>
        <v>12760.199999999999</v>
      </c>
      <c r="C21" s="16">
        <f t="shared" si="0"/>
        <v>0.15</v>
      </c>
      <c r="D21" s="1">
        <f t="shared" si="2"/>
        <v>638.01</v>
      </c>
      <c r="E21">
        <f t="shared" ref="E21:E30" si="3">E20+D21</f>
        <v>1914.0299999999997</v>
      </c>
    </row>
    <row r="22" spans="1:5" x14ac:dyDescent="0.25">
      <c r="A22" s="1" t="s">
        <v>19</v>
      </c>
      <c r="B22" s="7">
        <f t="shared" si="1"/>
        <v>17013.599999999999</v>
      </c>
      <c r="C22" s="16">
        <f t="shared" si="0"/>
        <v>0.15</v>
      </c>
      <c r="D22" s="1">
        <f t="shared" si="2"/>
        <v>638.00999999999976</v>
      </c>
      <c r="E22">
        <f t="shared" si="3"/>
        <v>2552.0399999999995</v>
      </c>
    </row>
    <row r="23" spans="1:5" x14ac:dyDescent="0.25">
      <c r="A23" s="1" t="s">
        <v>20</v>
      </c>
      <c r="B23" s="7">
        <f t="shared" si="1"/>
        <v>21267</v>
      </c>
      <c r="C23" s="16">
        <f t="shared" si="0"/>
        <v>0.15</v>
      </c>
      <c r="D23" s="1">
        <f t="shared" si="2"/>
        <v>638.01000000000022</v>
      </c>
      <c r="E23">
        <f t="shared" si="3"/>
        <v>3190.0499999999997</v>
      </c>
    </row>
    <row r="24" spans="1:5" x14ac:dyDescent="0.25">
      <c r="A24" s="8" t="s">
        <v>21</v>
      </c>
      <c r="B24" s="7">
        <f t="shared" si="1"/>
        <v>25520.400000000001</v>
      </c>
      <c r="C24" s="16">
        <f t="shared" si="0"/>
        <v>0.15</v>
      </c>
      <c r="D24" s="1">
        <f t="shared" si="2"/>
        <v>638.01000000000022</v>
      </c>
      <c r="E24">
        <f t="shared" si="3"/>
        <v>3828.06</v>
      </c>
    </row>
    <row r="25" spans="1:5" x14ac:dyDescent="0.25">
      <c r="A25" s="1" t="s">
        <v>22</v>
      </c>
      <c r="B25" s="7">
        <f t="shared" si="1"/>
        <v>29773.800000000003</v>
      </c>
      <c r="C25" s="16">
        <f t="shared" si="0"/>
        <v>0.15</v>
      </c>
      <c r="D25" s="1">
        <f t="shared" si="2"/>
        <v>638.01000000000067</v>
      </c>
      <c r="E25">
        <f t="shared" si="3"/>
        <v>4466.0700000000006</v>
      </c>
    </row>
    <row r="26" spans="1:5" x14ac:dyDescent="0.25">
      <c r="A26" s="1" t="s">
        <v>23</v>
      </c>
      <c r="B26" s="7">
        <f t="shared" si="1"/>
        <v>34027.200000000004</v>
      </c>
      <c r="C26" s="16">
        <f t="shared" si="0"/>
        <v>0.2</v>
      </c>
      <c r="D26" s="1">
        <f t="shared" si="2"/>
        <v>739.36999999999989</v>
      </c>
      <c r="E26">
        <f t="shared" si="3"/>
        <v>5205.4400000000005</v>
      </c>
    </row>
    <row r="27" spans="1:5" x14ac:dyDescent="0.25">
      <c r="A27" s="8" t="s">
        <v>24</v>
      </c>
      <c r="B27" s="7">
        <f t="shared" si="1"/>
        <v>38280.600000000006</v>
      </c>
      <c r="C27" s="16">
        <f t="shared" si="0"/>
        <v>0.2</v>
      </c>
      <c r="D27" s="1">
        <f t="shared" si="2"/>
        <v>850.68000000000029</v>
      </c>
      <c r="E27">
        <f t="shared" si="3"/>
        <v>6056.1200000000008</v>
      </c>
    </row>
    <row r="28" spans="1:5" x14ac:dyDescent="0.25">
      <c r="A28" s="1" t="s">
        <v>25</v>
      </c>
      <c r="B28" s="7">
        <f t="shared" si="1"/>
        <v>42534.000000000007</v>
      </c>
      <c r="C28" s="16">
        <f t="shared" si="0"/>
        <v>0.2</v>
      </c>
      <c r="D28" s="1">
        <f t="shared" si="2"/>
        <v>850.68000000000029</v>
      </c>
      <c r="E28">
        <f t="shared" si="3"/>
        <v>6906.8000000000011</v>
      </c>
    </row>
    <row r="29" spans="1:5" x14ac:dyDescent="0.25">
      <c r="A29" s="1" t="s">
        <v>26</v>
      </c>
      <c r="B29" s="7">
        <f t="shared" si="1"/>
        <v>46787.400000000009</v>
      </c>
      <c r="C29" s="16">
        <f t="shared" si="0"/>
        <v>0.2</v>
      </c>
      <c r="D29" s="1">
        <f t="shared" si="2"/>
        <v>850.68000000000029</v>
      </c>
      <c r="E29">
        <f t="shared" si="3"/>
        <v>7757.4800000000014</v>
      </c>
    </row>
    <row r="30" spans="1:5" x14ac:dyDescent="0.25">
      <c r="A30" s="24" t="s">
        <v>27</v>
      </c>
      <c r="B30" s="26">
        <f t="shared" si="1"/>
        <v>51040.80000000001</v>
      </c>
      <c r="C30" s="30">
        <f t="shared" si="0"/>
        <v>0.2</v>
      </c>
      <c r="D30" s="66">
        <f t="shared" si="2"/>
        <v>850.68000000000029</v>
      </c>
      <c r="E30" s="66">
        <f t="shared" si="3"/>
        <v>8608.1600000000017</v>
      </c>
    </row>
    <row r="31" spans="1:5" x14ac:dyDescent="0.25">
      <c r="D31" s="8">
        <f>SUM(D19:D30)</f>
        <v>8608.1600000000017</v>
      </c>
    </row>
  </sheetData>
  <mergeCells count="1">
    <mergeCell ref="A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8</vt:i4>
      </vt:variant>
    </vt:vector>
  </HeadingPairs>
  <TitlesOfParts>
    <vt:vector size="10" baseType="lpstr">
      <vt:lpstr>2022</vt:lpstr>
      <vt:lpstr>DATA</vt:lpstr>
      <vt:lpstr>Asgari_Ücret</vt:lpstr>
      <vt:lpstr>DV</vt:lpstr>
      <vt:lpstr>GV_Dilimleri</vt:lpstr>
      <vt:lpstr>Issizlik</vt:lpstr>
      <vt:lpstr>SGK</vt:lpstr>
      <vt:lpstr>SGK_emk</vt:lpstr>
      <vt:lpstr>SGK_tv</vt:lpstr>
      <vt:lpstr>SGK_tv_old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Övünç Buke</cp:lastModifiedBy>
  <dcterms:created xsi:type="dcterms:W3CDTF">2006-09-16T00:00:00Z</dcterms:created>
  <dcterms:modified xsi:type="dcterms:W3CDTF">2022-03-28T04:48:50Z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7bf92bbd-2f28-4b81-b5d9-5f0f31f02b8e</vt:lpwstr>
  </property>
</Properties>
</file>