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https://rkaraaslan-my.sharepoint.com/personal/obuke_tekyaz_com/Documents/OVUNC/Brut Net Maas Hesaplama/"/>
    </mc:Choice>
  </mc:AlternateContent>
  <xr:revisionPtr revIDLastSave="146" documentId="13_ncr:1_{4F7DFE3D-ED62-443E-8FF5-574EDA3BC5BE}" xr6:coauthVersionLast="47" xr6:coauthVersionMax="47" xr10:uidLastSave="{54695A20-F24D-4BC1-BA3B-A5F92073B08F}"/>
  <bookViews>
    <workbookView xWindow="-120" yWindow="-120" windowWidth="29040" windowHeight="15720" tabRatio="579" xr2:uid="{00000000-000D-0000-FFFF-FFFF00000000}"/>
  </bookViews>
  <sheets>
    <sheet name="2024" sheetId="11" r:id="rId1"/>
    <sheet name="DATA" sheetId="12" r:id="rId2"/>
  </sheets>
  <definedNames>
    <definedName name="_xlnm._FilterDatabase" localSheetId="0" hidden="1">'2024'!$A$2:$U$5</definedName>
    <definedName name="Asgari_Ücret_H1">DATA!$B$8</definedName>
    <definedName name="Asgari_Ücret_H2">DATA!$B$9</definedName>
    <definedName name="DV">DATA!$B$7</definedName>
    <definedName name="GV_Dilimleri">DATA!$A$13:$D$17</definedName>
    <definedName name="Issizlik">DATA!$B$6</definedName>
    <definedName name="SGK">DATA!$B$1</definedName>
    <definedName name="SGK_emk">DATA!$B$2</definedName>
    <definedName name="SGK_tv_H1">DATA!$B$4</definedName>
    <definedName name="SGK_tv_H2">DATA!$B$5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1" l="1"/>
  <c r="E5" i="11"/>
  <c r="G5" i="11" l="1"/>
  <c r="C6" i="11" l="1"/>
  <c r="C7" i="11" s="1"/>
  <c r="C8" i="11" s="1"/>
  <c r="T16" i="11"/>
  <c r="T15" i="11"/>
  <c r="T14" i="11"/>
  <c r="T13" i="11"/>
  <c r="T12" i="11"/>
  <c r="T11" i="11"/>
  <c r="A17" i="12"/>
  <c r="A16" i="12"/>
  <c r="A15" i="12"/>
  <c r="A14" i="12"/>
  <c r="C9" i="11" l="1"/>
  <c r="C10" i="11" s="1"/>
  <c r="B21" i="12"/>
  <c r="C21" i="12" s="1"/>
  <c r="C11" i="11" l="1"/>
  <c r="C12" i="11" s="1"/>
  <c r="C13" i="11" s="1"/>
  <c r="C14" i="11" s="1"/>
  <c r="C15" i="11" s="1"/>
  <c r="C16" i="11" s="1"/>
  <c r="K5" i="11"/>
  <c r="D21" i="12"/>
  <c r="B22" i="12"/>
  <c r="E7" i="11"/>
  <c r="Q5" i="11" l="1"/>
  <c r="E21" i="12"/>
  <c r="K7" i="11"/>
  <c r="S7" i="11"/>
  <c r="B23" i="12"/>
  <c r="C22" i="12"/>
  <c r="G7" i="11"/>
  <c r="E3" i="11"/>
  <c r="D22" i="12" l="1"/>
  <c r="C23" i="12"/>
  <c r="B24" i="12"/>
  <c r="T10" i="11"/>
  <c r="T9" i="11"/>
  <c r="T8" i="11"/>
  <c r="T7" i="11"/>
  <c r="T6" i="11"/>
  <c r="T5" i="11"/>
  <c r="Q6" i="11" l="1"/>
  <c r="E22" i="12"/>
  <c r="D23" i="12" s="1"/>
  <c r="B25" i="12"/>
  <c r="C24" i="12"/>
  <c r="G3" i="11"/>
  <c r="E23" i="12" l="1"/>
  <c r="D24" i="12" s="1"/>
  <c r="Q7" i="11"/>
  <c r="C25" i="12"/>
  <c r="B26" i="12"/>
  <c r="B27" i="12" s="1"/>
  <c r="B28" i="12" s="1"/>
  <c r="B29" i="12" s="1"/>
  <c r="B30" i="12" s="1"/>
  <c r="B31" i="12" s="1"/>
  <c r="B32" i="12" s="1"/>
  <c r="F3" i="11"/>
  <c r="E4" i="11"/>
  <c r="H4" i="11" s="1"/>
  <c r="F5" i="11" s="1"/>
  <c r="I5" i="11" s="1"/>
  <c r="L5" i="11" s="1"/>
  <c r="E6" i="11"/>
  <c r="E8" i="11"/>
  <c r="H8" i="11" s="1"/>
  <c r="E9" i="11"/>
  <c r="E10" i="11"/>
  <c r="E11" i="11"/>
  <c r="E12" i="11"/>
  <c r="E13" i="11"/>
  <c r="E14" i="11"/>
  <c r="E15" i="11"/>
  <c r="E16" i="11"/>
  <c r="S14" i="11" l="1"/>
  <c r="G14" i="11"/>
  <c r="H15" i="11" s="1"/>
  <c r="F16" i="11" s="1"/>
  <c r="I16" i="11" s="1"/>
  <c r="K14" i="11"/>
  <c r="G13" i="11"/>
  <c r="H14" i="11" s="1"/>
  <c r="F15" i="11" s="1"/>
  <c r="I15" i="11" s="1"/>
  <c r="S13" i="11"/>
  <c r="K13" i="11"/>
  <c r="S12" i="11"/>
  <c r="G12" i="11"/>
  <c r="H13" i="11" s="1"/>
  <c r="F14" i="11" s="1"/>
  <c r="I14" i="11" s="1"/>
  <c r="K12" i="11"/>
  <c r="S11" i="11"/>
  <c r="K11" i="11"/>
  <c r="G11" i="11"/>
  <c r="H12" i="11" s="1"/>
  <c r="F13" i="11" s="1"/>
  <c r="I13" i="11" s="1"/>
  <c r="G16" i="11"/>
  <c r="K16" i="11"/>
  <c r="S16" i="11"/>
  <c r="G15" i="11"/>
  <c r="H16" i="11" s="1"/>
  <c r="K15" i="11"/>
  <c r="S15" i="11"/>
  <c r="E24" i="12"/>
  <c r="D25" i="12" s="1"/>
  <c r="Q8" i="11"/>
  <c r="K8" i="11"/>
  <c r="S8" i="11"/>
  <c r="K10" i="11"/>
  <c r="S10" i="11"/>
  <c r="K9" i="11"/>
  <c r="S9" i="11"/>
  <c r="K6" i="11"/>
  <c r="S6" i="11"/>
  <c r="S5" i="11"/>
  <c r="C26" i="12"/>
  <c r="G10" i="11"/>
  <c r="G9" i="11"/>
  <c r="H10" i="11" s="1"/>
  <c r="F11" i="11" s="1"/>
  <c r="I11" i="11" s="1"/>
  <c r="G6" i="11"/>
  <c r="H7" i="11" s="1"/>
  <c r="F8" i="11" s="1"/>
  <c r="I8" i="11" s="1"/>
  <c r="H6" i="11"/>
  <c r="F7" i="11" s="1"/>
  <c r="I7" i="11" s="1"/>
  <c r="G8" i="11"/>
  <c r="H9" i="11" s="1"/>
  <c r="F10" i="11" s="1"/>
  <c r="I10" i="11" s="1"/>
  <c r="F9" i="11"/>
  <c r="I9" i="11" s="1"/>
  <c r="G4" i="11"/>
  <c r="F4" i="11"/>
  <c r="H5" i="11" l="1"/>
  <c r="F6" i="11" s="1"/>
  <c r="I6" i="11" s="1"/>
  <c r="L6" i="11" s="1"/>
  <c r="H11" i="11"/>
  <c r="F12" i="11" s="1"/>
  <c r="I12" i="11" s="1"/>
  <c r="E25" i="12"/>
  <c r="D26" i="12" s="1"/>
  <c r="Q9" i="11"/>
  <c r="C27" i="12"/>
  <c r="L7" i="11"/>
  <c r="E26" i="12" l="1"/>
  <c r="D27" i="12" s="1"/>
  <c r="Q10" i="11"/>
  <c r="C28" i="12"/>
  <c r="L8" i="11"/>
  <c r="E27" i="12" l="1"/>
  <c r="D28" i="12" s="1"/>
  <c r="Q11" i="11"/>
  <c r="C29" i="12"/>
  <c r="L9" i="11"/>
  <c r="E28" i="12" l="1"/>
  <c r="D29" i="12" s="1"/>
  <c r="Q12" i="11"/>
  <c r="C30" i="12"/>
  <c r="L10" i="11"/>
  <c r="E29" i="12" l="1"/>
  <c r="D30" i="12" s="1"/>
  <c r="Q13" i="11"/>
  <c r="C31" i="12"/>
  <c r="M5" i="11"/>
  <c r="E30" i="12" l="1"/>
  <c r="D31" i="12" s="1"/>
  <c r="Q14" i="11"/>
  <c r="C32" i="12"/>
  <c r="M6" i="11"/>
  <c r="M7" i="11" s="1"/>
  <c r="O5" i="11"/>
  <c r="R5" i="11" s="1"/>
  <c r="U5" i="11" s="1"/>
  <c r="L12" i="11"/>
  <c r="L11" i="11"/>
  <c r="N5" i="11"/>
  <c r="E31" i="12" l="1"/>
  <c r="D32" i="12" s="1"/>
  <c r="Q15" i="11"/>
  <c r="L13" i="11"/>
  <c r="N6" i="11"/>
  <c r="E32" i="12" l="1"/>
  <c r="Q16" i="11"/>
  <c r="D33" i="12"/>
  <c r="P5" i="11"/>
  <c r="O6" i="11" s="1"/>
  <c r="R6" i="11" s="1"/>
  <c r="U6" i="11" s="1"/>
  <c r="L14" i="11" l="1"/>
  <c r="P6" i="11"/>
  <c r="L16" i="11"/>
  <c r="L15" i="11"/>
  <c r="N7" i="11"/>
  <c r="M8" i="11"/>
  <c r="O7" i="11" l="1"/>
  <c r="R7" i="11" s="1"/>
  <c r="U7" i="11" s="1"/>
  <c r="N8" i="11"/>
  <c r="M9" i="11"/>
  <c r="N9" i="11" s="1"/>
  <c r="P7" i="11" l="1"/>
  <c r="O8" i="11" s="1"/>
  <c r="R8" i="11" s="1"/>
  <c r="U8" i="11" s="1"/>
  <c r="M10" i="11"/>
  <c r="N10" i="11" s="1"/>
  <c r="P8" i="11" l="1"/>
  <c r="O9" i="11" s="1"/>
  <c r="R9" i="11" s="1"/>
  <c r="U9" i="11" s="1"/>
  <c r="M11" i="11"/>
  <c r="P9" i="11" l="1"/>
  <c r="O10" i="11" s="1"/>
  <c r="R10" i="11" s="1"/>
  <c r="U10" i="11" s="1"/>
  <c r="V10" i="11" s="1"/>
  <c r="N11" i="11"/>
  <c r="M12" i="11"/>
  <c r="P10" i="11" l="1"/>
  <c r="N12" i="11"/>
  <c r="M13" i="11"/>
  <c r="O11" i="11" l="1"/>
  <c r="R11" i="11" s="1"/>
  <c r="U11" i="11" s="1"/>
  <c r="N13" i="11"/>
  <c r="M14" i="11"/>
  <c r="P11" i="11" l="1"/>
  <c r="O12" i="11" s="1"/>
  <c r="R12" i="11" s="1"/>
  <c r="U12" i="11" s="1"/>
  <c r="N14" i="11"/>
  <c r="M15" i="11"/>
  <c r="P12" i="11" l="1"/>
  <c r="O13" i="11" s="1"/>
  <c r="R13" i="11" s="1"/>
  <c r="U13" i="11" s="1"/>
  <c r="N15" i="11"/>
  <c r="M16" i="11"/>
  <c r="P13" i="11" l="1"/>
  <c r="O14" i="11" s="1"/>
  <c r="R14" i="11" s="1"/>
  <c r="U14" i="11" s="1"/>
  <c r="N16" i="11"/>
  <c r="P14" i="11" l="1"/>
  <c r="O15" i="11" s="1"/>
  <c r="R15" i="11" s="1"/>
  <c r="U15" i="11" s="1"/>
  <c r="P15" i="11" l="1"/>
  <c r="O16" i="11" s="1"/>
  <c r="R16" i="11" s="1"/>
  <c r="U16" i="11" s="1"/>
  <c r="V16" i="11" s="1"/>
  <c r="P16" i="11" l="1"/>
  <c r="U17" i="11"/>
  <c r="U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  <author>Övünç Buke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family val="2"/>
            <charset val="162"/>
          </rPr>
          <t xml:space="preserve">
E - Zorunlu BES var
H- Zorunlu BES yok</t>
        </r>
      </text>
    </comment>
    <comment ref="J2" authorId="1" shapeId="0" xr:uid="{845F2C43-C52E-4D1B-BF3C-9B72C2E302AA}">
      <text>
        <r>
          <rPr>
            <b/>
            <sz val="9"/>
            <color indexed="81"/>
            <rFont val="Tahoma"/>
            <family val="2"/>
            <charset val="162"/>
          </rPr>
          <t>Övünç Buke:</t>
        </r>
        <r>
          <rPr>
            <sz val="9"/>
            <color indexed="81"/>
            <rFont val="Tahoma"/>
            <family val="2"/>
            <charset val="162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<sst xmlns="http://schemas.openxmlformats.org/spreadsheetml/2006/main" count="88" uniqueCount="60">
  <si>
    <t>SGK</t>
  </si>
  <si>
    <t>İşsizlik</t>
  </si>
  <si>
    <t>Damga</t>
  </si>
  <si>
    <t>Alt</t>
  </si>
  <si>
    <t>ÜST</t>
  </si>
  <si>
    <t>Aylık Net</t>
  </si>
  <si>
    <t>Vergi Matr.</t>
  </si>
  <si>
    <t>BRÜT Maaş</t>
  </si>
  <si>
    <t>SGK_emekli</t>
  </si>
  <si>
    <t>Tarih</t>
  </si>
  <si>
    <t>BRÜT 
Prim</t>
  </si>
  <si>
    <t>BRÜT 
Toplam</t>
  </si>
  <si>
    <t>Vergi dilimi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</si>
  <si>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</si>
  <si>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</si>
  <si>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</si>
  <si>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</si>
  <si>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</si>
  <si>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</si>
  <si>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</si>
  <si>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</si>
  <si>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</si>
  <si>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</si>
  <si>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</si>
  <si>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</si>
  <si>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</si>
  <si>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</si>
  <si>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Sigorta
Matrah</t>
  </si>
  <si>
    <t>TOPLAM</t>
  </si>
  <si>
    <t>Aylık Ort</t>
  </si>
  <si>
    <t>Bireysel
Sigorta</t>
  </si>
  <si>
    <t>SGK Tavan_eski</t>
  </si>
  <si>
    <t>Zorunlu
BES</t>
  </si>
  <si>
    <t>H</t>
  </si>
  <si>
    <t>BRÜT SGK Matrahı</t>
  </si>
  <si>
    <t>NOTLAR</t>
  </si>
  <si>
    <t xml:space="preserve">* Aylık brüt gelirlerin toplamı SGK Tavan ücrtinin üzerine çıkar ise, SGK Tavan ücretini geçen kısım sonraki aya devredilir. Maksimum 2 aya kadar devreder. </t>
  </si>
  <si>
    <t>* Bireysel sigortalar ile sağlanacak gelir vergisi matrah indirimi aylık brüt gelirlerin %15 ini geçemez.</t>
  </si>
  <si>
    <t>* Bireysel sigortalar ile sağlanacak gelir vergisi matrah indirimi yıllık bazda toplam yıllık brüt asgari ücreti geçemez.</t>
  </si>
  <si>
    <t>SGK ve
İşsizlik</t>
  </si>
  <si>
    <t>Vergi Matr. K</t>
  </si>
  <si>
    <t>Asgari Ü. Vergi
Mat. Küm.</t>
  </si>
  <si>
    <t>Asgari Ü. Vergi
Dilimi</t>
  </si>
  <si>
    <t>Asgari Ü.
Vergi</t>
  </si>
  <si>
    <t>Agari Ü.
Ödenen Vergi</t>
  </si>
  <si>
    <t>Hesaplanan
Gelir Vergisi</t>
  </si>
  <si>
    <t>Ödenecek
Gelir V.</t>
  </si>
  <si>
    <t>Hesaplanan
Vergi Küm.</t>
  </si>
  <si>
    <t xml:space="preserve">* Asgari ücret için uygulanan vergi indirimleri gibi özel durumlardan dolayı yukarıdaki hesaplamalar doğru sonuç vermeyebilir. </t>
  </si>
  <si>
    <t>Asgari Ücret_H1</t>
  </si>
  <si>
    <t>Asgari Ücret_H2</t>
  </si>
  <si>
    <t>SGK Tavan_H2</t>
  </si>
  <si>
    <t>SGK Tavan_H1</t>
  </si>
  <si>
    <t>İlk Yarı Ort</t>
  </si>
  <si>
    <t>İkinci Yarı Ort</t>
  </si>
  <si>
    <t>2023 için</t>
  </si>
  <si>
    <t>2024 ilk yarı için</t>
  </si>
  <si>
    <t>2024 ikinci yarı için</t>
  </si>
  <si>
    <t>GV Dilimleri 2024</t>
  </si>
  <si>
    <t>A.Ü. Gelir Vergisi İstisnası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</si>
</sst>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  <numFmt numFmtId="168" formatCode="_-[$₺-41F]* #,##0.00_-;\-[$₺-41F]* #,##0.00_-;_-[$₺-41F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/>
    <xf numFmtId="0" fontId="0" fillId="0" borderId="12" xfId="0" applyBorder="1"/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 shrinkToFit="1"/>
    </xf>
    <xf numFmtId="0" fontId="6" fillId="0" borderId="0" xfId="0" applyFont="1"/>
    <xf numFmtId="165" fontId="0" fillId="0" borderId="1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168" fontId="0" fillId="0" borderId="0" xfId="3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center"/>
    </xf>
    <xf numFmtId="165" fontId="0" fillId="0" borderId="0" xfId="0" applyNumberFormat="1"/>
    <xf numFmtId="0" fontId="0" fillId="2" borderId="20" xfId="0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Y24"/>
  <sheetViews>
    <sheetView tabSelected="1" zoomScale="115" zoomScaleNormal="115" workbookViewId="0">
      <selection activeCell="C18" sqref="C18"/>
    </sheetView>
  </sheetViews>
  <sheetFormatPr defaultColWidth="9.140625" defaultRowHeight="15" x14ac:dyDescent="0.25"/>
  <cols>
    <col min="1" max="1" width="11.7109375" customWidth="1"/>
    <col min="2" max="2" width="9" customWidth="1"/>
    <col min="3" max="3" width="13.7109375" style="12" customWidth="1"/>
    <col min="4" max="4" width="11" style="12" customWidth="1"/>
    <col min="5" max="6" width="9.5703125" customWidth="1"/>
    <col min="7" max="8" width="10.140625" customWidth="1"/>
    <col min="9" max="11" width="9.28515625" customWidth="1"/>
    <col min="12" max="14" width="10.140625" customWidth="1"/>
    <col min="15" max="16" width="13.7109375" bestFit="1" customWidth="1"/>
    <col min="17" max="17" width="13.42578125" customWidth="1"/>
    <col min="18" max="18" width="12" customWidth="1"/>
    <col min="19" max="20" width="9.140625" customWidth="1"/>
    <col min="21" max="21" width="15" customWidth="1"/>
    <col min="22" max="22" width="11.5703125" bestFit="1" customWidth="1"/>
  </cols>
  <sheetData>
    <row r="1" spans="1:25" ht="18.75" x14ac:dyDescent="0.3"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8" customFormat="1" ht="30" x14ac:dyDescent="0.25">
      <c r="A2" s="28" t="s">
        <v>9</v>
      </c>
      <c r="B2" s="28" t="s">
        <v>32</v>
      </c>
      <c r="C2" s="10" t="s">
        <v>7</v>
      </c>
      <c r="D2" s="10" t="s">
        <v>10</v>
      </c>
      <c r="E2" s="10" t="s">
        <v>11</v>
      </c>
      <c r="F2" s="10" t="s">
        <v>34</v>
      </c>
      <c r="G2" s="9" t="s">
        <v>14</v>
      </c>
      <c r="H2" s="9" t="s">
        <v>13</v>
      </c>
      <c r="I2" s="9" t="s">
        <v>39</v>
      </c>
      <c r="J2" s="9" t="s">
        <v>30</v>
      </c>
      <c r="K2" s="9" t="s">
        <v>27</v>
      </c>
      <c r="L2" s="9" t="s">
        <v>6</v>
      </c>
      <c r="M2" s="9" t="s">
        <v>40</v>
      </c>
      <c r="N2" s="9" t="s">
        <v>12</v>
      </c>
      <c r="O2" s="9" t="s">
        <v>45</v>
      </c>
      <c r="P2" s="9" t="s">
        <v>47</v>
      </c>
      <c r="Q2" s="9" t="s">
        <v>43</v>
      </c>
      <c r="R2" s="9" t="s">
        <v>46</v>
      </c>
      <c r="S2" s="9" t="s">
        <v>2</v>
      </c>
      <c r="T2" s="9" t="s">
        <v>32</v>
      </c>
      <c r="U2" s="9" t="s">
        <v>5</v>
      </c>
    </row>
    <row r="3" spans="1:25" s="8" customFormat="1" x14ac:dyDescent="0.25">
      <c r="A3" t="s">
        <v>25</v>
      </c>
      <c r="B3" s="45"/>
      <c r="C3" s="50">
        <v>20000</v>
      </c>
      <c r="D3" s="50"/>
      <c r="E3" s="6">
        <f>C3+D3</f>
        <v>20000</v>
      </c>
      <c r="F3" s="6">
        <f>E3</f>
        <v>20000</v>
      </c>
      <c r="G3" s="7">
        <f>IF((E3&gt;SGK_tv_old),(E3-SGK_tv_old),0)</f>
        <v>0</v>
      </c>
      <c r="H3" s="7"/>
    </row>
    <row r="4" spans="1:25" s="8" customFormat="1" x14ac:dyDescent="0.25">
      <c r="A4" t="s">
        <v>26</v>
      </c>
      <c r="B4" s="46"/>
      <c r="C4" s="51">
        <v>20000</v>
      </c>
      <c r="D4" s="51"/>
      <c r="E4" s="6">
        <f t="shared" ref="E4" si="0">C4+D4</f>
        <v>20000</v>
      </c>
      <c r="F4" s="6">
        <f>E4+G3+H3</f>
        <v>20000</v>
      </c>
      <c r="G4" s="7">
        <f>IF((E4&gt;SGK_tv_old),(E4-SGK_tv_old),0)</f>
        <v>0</v>
      </c>
      <c r="H4" s="7">
        <f>IF((G3+E4)&gt;SGK_tv_old,G3+E4-SGK_tv_old,0)</f>
        <v>0</v>
      </c>
    </row>
    <row r="5" spans="1:25" x14ac:dyDescent="0.25">
      <c r="A5" s="23" t="s">
        <v>15</v>
      </c>
      <c r="B5" s="47" t="s">
        <v>33</v>
      </c>
      <c r="C5" s="50">
        <v>25000</v>
      </c>
      <c r="D5" s="47"/>
      <c r="E5" s="24">
        <f>C5+D5</f>
        <v>25000</v>
      </c>
      <c r="F5" s="24">
        <f>E5+H4</f>
        <v>25000</v>
      </c>
      <c r="G5" s="25">
        <f t="shared" ref="G5:G10" si="1">IF((E5&gt;SGK_tv_H1),(E5-SGK_tv_H1),0)</f>
        <v>0</v>
      </c>
      <c r="H5" s="25">
        <f t="shared" ref="H5:H10" si="2">IF((G4+E5)&gt;SGK_tv_H1,G4+E5-SGK_tv_H1,0)</f>
        <v>0</v>
      </c>
      <c r="I5" s="25">
        <f>IF(F5&gt;(SGK_tv_H1),SGK_tv_H1*SGK,F5*SGK)+IF(F5&gt;SGK_tv_H1,SGK_tv_H1*Issizlik,F5*Issizlik)</f>
        <v>3750.0000000000005</v>
      </c>
      <c r="J5" s="26"/>
      <c r="K5" s="24">
        <f>IF((IF(J5&gt;E5*0.15,E5*0.15,J5))&gt;(Asgari_Ücret_H1*12),(Asgari_Ücret_H1*12),(IF(J5&gt;E5*0.15,E5*0.15,J5)))</f>
        <v>0</v>
      </c>
      <c r="L5" s="24">
        <f>E5-I5-K5</f>
        <v>21250</v>
      </c>
      <c r="M5" s="24">
        <f>L5</f>
        <v>21250</v>
      </c>
      <c r="N5" s="27">
        <f t="shared" ref="N5:N16" si="3">VLOOKUP(M5,GV_Dilimleri,3,TRUE)</f>
        <v>0.15</v>
      </c>
      <c r="O5" s="24">
        <f>VLOOKUP(M5,GV_Dilimleri,4,TRUE)+(M5-VLOOKUP(M5,GV_Dilimleri,1,TRUE))*VLOOKUP(M5,GV_Dilimleri,3,TRUE)</f>
        <v>3187.5</v>
      </c>
      <c r="P5" s="24">
        <f>O5</f>
        <v>3187.5</v>
      </c>
      <c r="Q5" s="24">
        <f>DATA!D21</f>
        <v>2550.3187499999999</v>
      </c>
      <c r="R5" s="27">
        <f>O5-Q5</f>
        <v>637.18125000000009</v>
      </c>
      <c r="S5" s="24">
        <f>(E5-Asgari_Ücret_H1)*DATA!$B$7</f>
        <v>37.931025000000005</v>
      </c>
      <c r="T5" s="24">
        <f t="shared" ref="T5:T10" si="4">IF(B5="E",IF(F5&gt;SGK_tv_H1,SGK_tv_H1*0.03,F5*0.03),0)</f>
        <v>0</v>
      </c>
      <c r="U5" s="30">
        <f t="shared" ref="U5:U16" si="5">E5-I5-R5-S5-T5</f>
        <v>20574.887724999997</v>
      </c>
      <c r="V5" s="14"/>
      <c r="W5" s="14"/>
      <c r="Y5" s="14"/>
    </row>
    <row r="6" spans="1:25" x14ac:dyDescent="0.25">
      <c r="A6" t="s">
        <v>16</v>
      </c>
      <c r="B6" s="48" t="s">
        <v>33</v>
      </c>
      <c r="C6" s="51">
        <f>C5</f>
        <v>25000</v>
      </c>
      <c r="D6" s="48"/>
      <c r="E6" s="6">
        <f t="shared" ref="E6:E16" si="6">C6+D6</f>
        <v>25000</v>
      </c>
      <c r="F6" s="6">
        <f t="shared" ref="F6:F16" si="7">E6+H5</f>
        <v>25000</v>
      </c>
      <c r="G6" s="7">
        <f t="shared" si="1"/>
        <v>0</v>
      </c>
      <c r="H6" s="7">
        <f t="shared" si="2"/>
        <v>0</v>
      </c>
      <c r="I6" s="7">
        <f t="shared" ref="I6:I10" si="8">IF(F6&gt;(SGK_tv_H1),SGK_tv_H1*SGK,F6*SGK)+IF(F6&gt;SGK_tv_H1,SGK_tv_H1*Issizlik,F6*Issizlik)</f>
        <v>3750.0000000000005</v>
      </c>
      <c r="J6" s="15"/>
      <c r="K6" s="6">
        <f t="shared" ref="K6:K10" si="9">IF((IF(J6&gt;E6*0.15,E6*0.15,J6))&gt;(Asgari_Ücret_H1*12),(Asgari_Ücret_H1*12),(IF(J6&gt;E6*0.15,E6*0.15,J6)))</f>
        <v>0</v>
      </c>
      <c r="L6" s="6">
        <f t="shared" ref="L6:L16" si="10">E6-I6-K6</f>
        <v>21250</v>
      </c>
      <c r="M6" s="6">
        <f t="shared" ref="M6:M16" si="11">M5+L6</f>
        <v>42500</v>
      </c>
      <c r="N6" s="13">
        <f t="shared" si="3"/>
        <v>0.15</v>
      </c>
      <c r="O6" s="6">
        <f t="shared" ref="O6:O16" si="12">VLOOKUP(M6,GV_Dilimleri,4,TRUE)+(M6-VLOOKUP(M6,GV_Dilimleri,1,TRUE))*VLOOKUP(M6,GV_Dilimleri,3,TRUE)-P5</f>
        <v>3187.5</v>
      </c>
      <c r="P6" s="6">
        <f>P5+O6</f>
        <v>6375</v>
      </c>
      <c r="Q6" s="6">
        <f>DATA!D22</f>
        <v>2550.3187499999999</v>
      </c>
      <c r="R6" s="13">
        <f t="shared" ref="R6:R16" si="13">O6-Q6</f>
        <v>637.18125000000009</v>
      </c>
      <c r="S6" s="6">
        <f>(E6-Asgari_Ücret_H1)*DATA!$B$7</f>
        <v>37.931025000000005</v>
      </c>
      <c r="T6" s="6">
        <f t="shared" si="4"/>
        <v>0</v>
      </c>
      <c r="U6" s="31">
        <f t="shared" si="5"/>
        <v>20574.887724999997</v>
      </c>
    </row>
    <row r="7" spans="1:25" x14ac:dyDescent="0.25">
      <c r="A7" t="s">
        <v>17</v>
      </c>
      <c r="B7" s="48" t="s">
        <v>33</v>
      </c>
      <c r="C7" s="51">
        <f t="shared" ref="C7:C16" si="14">C6</f>
        <v>25000</v>
      </c>
      <c r="D7" s="48"/>
      <c r="E7" s="6">
        <f>C7+D7</f>
        <v>25000</v>
      </c>
      <c r="F7" s="6">
        <f>E7+H6</f>
        <v>25000</v>
      </c>
      <c r="G7" s="7">
        <f t="shared" si="1"/>
        <v>0</v>
      </c>
      <c r="H7" s="7">
        <f t="shared" si="2"/>
        <v>0</v>
      </c>
      <c r="I7" s="7">
        <f t="shared" si="8"/>
        <v>3750.0000000000005</v>
      </c>
      <c r="J7" s="15"/>
      <c r="K7" s="6">
        <f t="shared" si="9"/>
        <v>0</v>
      </c>
      <c r="L7" s="6">
        <f t="shared" si="10"/>
        <v>21250</v>
      </c>
      <c r="M7" s="6">
        <f>M6+L7</f>
        <v>63750</v>
      </c>
      <c r="N7" s="13">
        <f t="shared" si="3"/>
        <v>0.15</v>
      </c>
      <c r="O7" s="6">
        <f t="shared" si="12"/>
        <v>3187.5</v>
      </c>
      <c r="P7" s="6">
        <f t="shared" ref="P7:P15" si="15">P6+O7</f>
        <v>9562.5</v>
      </c>
      <c r="Q7" s="6">
        <f>DATA!D23</f>
        <v>2550.3187499999995</v>
      </c>
      <c r="R7" s="13">
        <f t="shared" si="13"/>
        <v>637.18125000000055</v>
      </c>
      <c r="S7" s="6">
        <f>(E7-Asgari_Ücret_H1)*DATA!$B$7</f>
        <v>37.931025000000005</v>
      </c>
      <c r="T7" s="6">
        <f t="shared" si="4"/>
        <v>0</v>
      </c>
      <c r="U7" s="31">
        <f t="shared" si="5"/>
        <v>20574.887724999997</v>
      </c>
    </row>
    <row r="8" spans="1:25" x14ac:dyDescent="0.25">
      <c r="A8" t="s">
        <v>18</v>
      </c>
      <c r="B8" s="48" t="s">
        <v>33</v>
      </c>
      <c r="C8" s="51">
        <f t="shared" si="14"/>
        <v>25000</v>
      </c>
      <c r="D8" s="48"/>
      <c r="E8" s="6">
        <f t="shared" si="6"/>
        <v>25000</v>
      </c>
      <c r="F8" s="6">
        <f t="shared" si="7"/>
        <v>25000</v>
      </c>
      <c r="G8" s="7">
        <f t="shared" si="1"/>
        <v>0</v>
      </c>
      <c r="H8" s="7">
        <f t="shared" si="2"/>
        <v>0</v>
      </c>
      <c r="I8" s="7">
        <f t="shared" si="8"/>
        <v>3750.0000000000005</v>
      </c>
      <c r="J8" s="15"/>
      <c r="K8" s="6">
        <f t="shared" si="9"/>
        <v>0</v>
      </c>
      <c r="L8" s="6">
        <f t="shared" si="10"/>
        <v>21250</v>
      </c>
      <c r="M8" s="6">
        <f t="shared" si="11"/>
        <v>85000</v>
      </c>
      <c r="N8" s="13">
        <f t="shared" si="3"/>
        <v>0.15</v>
      </c>
      <c r="O8" s="6">
        <f t="shared" si="12"/>
        <v>3187.5</v>
      </c>
      <c r="P8" s="6">
        <f t="shared" si="15"/>
        <v>12750</v>
      </c>
      <c r="Q8" s="6">
        <f>DATA!D24</f>
        <v>2550.3187500000004</v>
      </c>
      <c r="R8" s="13">
        <f t="shared" si="13"/>
        <v>637.18124999999964</v>
      </c>
      <c r="S8" s="6">
        <f>(E8-Asgari_Ücret_H1)*DATA!$B$7</f>
        <v>37.931025000000005</v>
      </c>
      <c r="T8" s="6">
        <f t="shared" si="4"/>
        <v>0</v>
      </c>
      <c r="U8" s="31">
        <f t="shared" si="5"/>
        <v>20574.887724999997</v>
      </c>
    </row>
    <row r="9" spans="1:25" x14ac:dyDescent="0.25">
      <c r="A9" t="s">
        <v>19</v>
      </c>
      <c r="B9" s="48" t="s">
        <v>33</v>
      </c>
      <c r="C9" s="51">
        <f t="shared" si="14"/>
        <v>25000</v>
      </c>
      <c r="D9" s="48"/>
      <c r="E9" s="6">
        <f t="shared" si="6"/>
        <v>25000</v>
      </c>
      <c r="F9" s="6">
        <f t="shared" si="7"/>
        <v>25000</v>
      </c>
      <c r="G9" s="7">
        <f t="shared" si="1"/>
        <v>0</v>
      </c>
      <c r="H9" s="7">
        <f t="shared" si="2"/>
        <v>0</v>
      </c>
      <c r="I9" s="7">
        <f t="shared" si="8"/>
        <v>3750.0000000000005</v>
      </c>
      <c r="J9" s="15"/>
      <c r="K9" s="6">
        <f t="shared" si="9"/>
        <v>0</v>
      </c>
      <c r="L9" s="6">
        <f t="shared" si="10"/>
        <v>21250</v>
      </c>
      <c r="M9" s="6">
        <f t="shared" si="11"/>
        <v>106250</v>
      </c>
      <c r="N9" s="13">
        <f>VLOOKUP(M9,GV_Dilimleri,3,TRUE)</f>
        <v>0.15</v>
      </c>
      <c r="O9" s="6">
        <f t="shared" si="12"/>
        <v>3187.5</v>
      </c>
      <c r="P9" s="6">
        <f t="shared" si="15"/>
        <v>15937.5</v>
      </c>
      <c r="Q9" s="6">
        <f>DATA!D25</f>
        <v>2550.3187500000004</v>
      </c>
      <c r="R9" s="13">
        <f t="shared" si="13"/>
        <v>637.18124999999964</v>
      </c>
      <c r="S9" s="6">
        <f>(E9-Asgari_Ücret_H1)*DATA!$B$7</f>
        <v>37.931025000000005</v>
      </c>
      <c r="T9" s="6">
        <f t="shared" si="4"/>
        <v>0</v>
      </c>
      <c r="U9" s="31">
        <f t="shared" si="5"/>
        <v>20574.887724999997</v>
      </c>
      <c r="V9" t="s">
        <v>53</v>
      </c>
    </row>
    <row r="10" spans="1:25" x14ac:dyDescent="0.25">
      <c r="A10" t="s">
        <v>20</v>
      </c>
      <c r="B10" s="48" t="s">
        <v>33</v>
      </c>
      <c r="C10" s="51">
        <f t="shared" si="14"/>
        <v>25000</v>
      </c>
      <c r="D10" s="48"/>
      <c r="E10" s="6">
        <f t="shared" si="6"/>
        <v>25000</v>
      </c>
      <c r="F10" s="6">
        <f t="shared" si="7"/>
        <v>25000</v>
      </c>
      <c r="G10" s="7">
        <f t="shared" si="1"/>
        <v>0</v>
      </c>
      <c r="H10" s="7">
        <f t="shared" si="2"/>
        <v>0</v>
      </c>
      <c r="I10" s="7">
        <f t="shared" si="8"/>
        <v>3750.0000000000005</v>
      </c>
      <c r="J10" s="15"/>
      <c r="K10" s="6">
        <f t="shared" si="9"/>
        <v>0</v>
      </c>
      <c r="L10" s="6">
        <f t="shared" si="10"/>
        <v>21250</v>
      </c>
      <c r="M10" s="6">
        <f t="shared" si="11"/>
        <v>127500</v>
      </c>
      <c r="N10" s="13">
        <f>VLOOKUP(M10,GV_Dilimleri,3,TRUE)</f>
        <v>0.2</v>
      </c>
      <c r="O10" s="6">
        <f t="shared" si="12"/>
        <v>4062.5</v>
      </c>
      <c r="P10" s="6">
        <f t="shared" si="15"/>
        <v>20000</v>
      </c>
      <c r="Q10" s="6">
        <f>DATA!D26</f>
        <v>2550.3187499999985</v>
      </c>
      <c r="R10" s="13">
        <f t="shared" si="13"/>
        <v>1512.1812500000015</v>
      </c>
      <c r="S10" s="6">
        <f>(E10-Asgari_Ücret_H1)*DATA!$B$7</f>
        <v>37.931025000000005</v>
      </c>
      <c r="T10" s="6">
        <f t="shared" si="4"/>
        <v>0</v>
      </c>
      <c r="U10" s="31">
        <f t="shared" si="5"/>
        <v>19699.887724999997</v>
      </c>
      <c r="V10" s="54">
        <f>AVERAGE(U5:U10)</f>
        <v>20429.054391666661</v>
      </c>
    </row>
    <row r="11" spans="1:25" x14ac:dyDescent="0.25">
      <c r="A11" t="s">
        <v>21</v>
      </c>
      <c r="B11" s="48" t="s">
        <v>33</v>
      </c>
      <c r="C11" s="51">
        <f>C10</f>
        <v>25000</v>
      </c>
      <c r="D11" s="48"/>
      <c r="E11" s="6">
        <f t="shared" si="6"/>
        <v>25000</v>
      </c>
      <c r="F11" s="6">
        <f t="shared" si="7"/>
        <v>25000</v>
      </c>
      <c r="G11" s="7">
        <f t="shared" ref="G11:G16" si="16">IF((E11&gt;SGK_tv_H2),(E11-SGK_tv_H2),0)</f>
        <v>0</v>
      </c>
      <c r="H11" s="7">
        <f t="shared" ref="H11:H16" si="17">IF((G10+E11)&gt;SGK_tv_H2,G10+E11-SGK_tv_H2,0)</f>
        <v>0</v>
      </c>
      <c r="I11" s="7">
        <f t="shared" ref="I11:I16" si="18">IF(F11&gt;(SGK_tv_H2),SGK_tv_H2*SGK,F11*SGK)+IF(F11&gt;SGK_tv_H2,SGK_tv_H2*Issizlik,F11*Issizlik)</f>
        <v>3750.0000000000005</v>
      </c>
      <c r="J11" s="15"/>
      <c r="K11" s="6">
        <f t="shared" ref="K11:K16" si="19">IF((IF(J11&gt;E11*0.15,E11*0.15,J11))&gt;(Asgari_Ücret_H2*12),(Asgari_Ücret_H2*12),(IF(J11&gt;E11*0.15,E11*0.15,J11)))</f>
        <v>0</v>
      </c>
      <c r="L11" s="6">
        <f t="shared" si="10"/>
        <v>21250</v>
      </c>
      <c r="M11" s="6">
        <f t="shared" si="11"/>
        <v>148750</v>
      </c>
      <c r="N11" s="13">
        <f t="shared" si="3"/>
        <v>0.2</v>
      </c>
      <c r="O11" s="6">
        <f t="shared" si="12"/>
        <v>4250</v>
      </c>
      <c r="P11" s="6">
        <f t="shared" si="15"/>
        <v>24250</v>
      </c>
      <c r="Q11" s="6">
        <f>DATA!D27</f>
        <v>3001.0625</v>
      </c>
      <c r="R11" s="13">
        <f t="shared" si="13"/>
        <v>1248.9375</v>
      </c>
      <c r="S11" s="6">
        <f>(E11-Asgari_Ücret_H2)*DATA!$B$7</f>
        <v>37.931025000000005</v>
      </c>
      <c r="T11" s="6">
        <f t="shared" ref="T11:T16" si="20">IF(B11="E",IF(F11&gt;SGK_tv_H2,SGK_tv_H2*0.03,F11*0.03),0)</f>
        <v>0</v>
      </c>
      <c r="U11" s="31">
        <f t="shared" si="5"/>
        <v>19963.131474999998</v>
      </c>
    </row>
    <row r="12" spans="1:25" x14ac:dyDescent="0.25">
      <c r="A12" t="s">
        <v>22</v>
      </c>
      <c r="B12" s="48" t="s">
        <v>33</v>
      </c>
      <c r="C12" s="51">
        <f>C11</f>
        <v>25000</v>
      </c>
      <c r="D12" s="48"/>
      <c r="E12" s="6">
        <f t="shared" si="6"/>
        <v>25000</v>
      </c>
      <c r="F12" s="6">
        <f t="shared" si="7"/>
        <v>25000</v>
      </c>
      <c r="G12" s="7">
        <f t="shared" si="16"/>
        <v>0</v>
      </c>
      <c r="H12" s="7">
        <f t="shared" si="17"/>
        <v>0</v>
      </c>
      <c r="I12" s="7">
        <f t="shared" si="18"/>
        <v>3750.0000000000005</v>
      </c>
      <c r="J12" s="15"/>
      <c r="K12" s="6">
        <f t="shared" si="19"/>
        <v>0</v>
      </c>
      <c r="L12" s="6">
        <f t="shared" si="10"/>
        <v>21250</v>
      </c>
      <c r="M12" s="6">
        <f t="shared" si="11"/>
        <v>170000</v>
      </c>
      <c r="N12" s="13">
        <f t="shared" si="3"/>
        <v>0.2</v>
      </c>
      <c r="O12" s="6">
        <f t="shared" si="12"/>
        <v>4250</v>
      </c>
      <c r="P12" s="6">
        <f t="shared" si="15"/>
        <v>28500</v>
      </c>
      <c r="Q12" s="6">
        <f>DATA!D28</f>
        <v>3400.4250000000029</v>
      </c>
      <c r="R12" s="13">
        <f t="shared" si="13"/>
        <v>849.57499999999709</v>
      </c>
      <c r="S12" s="6">
        <f>(E12-Asgari_Ücret_H2)*DATA!$B$7</f>
        <v>37.931025000000005</v>
      </c>
      <c r="T12" s="6">
        <f t="shared" si="20"/>
        <v>0</v>
      </c>
      <c r="U12" s="31">
        <f t="shared" si="5"/>
        <v>20362.493975000001</v>
      </c>
    </row>
    <row r="13" spans="1:25" x14ac:dyDescent="0.25">
      <c r="A13" t="s">
        <v>23</v>
      </c>
      <c r="B13" s="48" t="s">
        <v>33</v>
      </c>
      <c r="C13" s="51">
        <f>C12</f>
        <v>25000</v>
      </c>
      <c r="D13" s="48"/>
      <c r="E13" s="6">
        <f t="shared" si="6"/>
        <v>25000</v>
      </c>
      <c r="F13" s="6">
        <f t="shared" si="7"/>
        <v>25000</v>
      </c>
      <c r="G13" s="7">
        <f t="shared" si="16"/>
        <v>0</v>
      </c>
      <c r="H13" s="7">
        <f t="shared" si="17"/>
        <v>0</v>
      </c>
      <c r="I13" s="7">
        <f t="shared" si="18"/>
        <v>3750.0000000000005</v>
      </c>
      <c r="J13" s="15"/>
      <c r="K13" s="6">
        <f t="shared" si="19"/>
        <v>0</v>
      </c>
      <c r="L13" s="6">
        <f t="shared" si="10"/>
        <v>21250</v>
      </c>
      <c r="M13" s="6">
        <f t="shared" si="11"/>
        <v>191250</v>
      </c>
      <c r="N13" s="13">
        <f t="shared" si="3"/>
        <v>0.2</v>
      </c>
      <c r="O13" s="6">
        <f t="shared" si="12"/>
        <v>4250</v>
      </c>
      <c r="P13" s="6">
        <f t="shared" si="15"/>
        <v>32750</v>
      </c>
      <c r="Q13" s="6">
        <f>DATA!D29</f>
        <v>3400.4249999999993</v>
      </c>
      <c r="R13" s="13">
        <f t="shared" si="13"/>
        <v>849.57500000000073</v>
      </c>
      <c r="S13" s="6">
        <f>(E13-Asgari_Ücret_H2)*DATA!$B$7</f>
        <v>37.931025000000005</v>
      </c>
      <c r="T13" s="6">
        <f t="shared" si="20"/>
        <v>0</v>
      </c>
      <c r="U13" s="31">
        <f t="shared" si="5"/>
        <v>20362.493974999998</v>
      </c>
    </row>
    <row r="14" spans="1:25" x14ac:dyDescent="0.25">
      <c r="A14" t="s">
        <v>24</v>
      </c>
      <c r="B14" s="48" t="s">
        <v>33</v>
      </c>
      <c r="C14" s="51">
        <f t="shared" si="14"/>
        <v>25000</v>
      </c>
      <c r="D14" s="48"/>
      <c r="E14" s="6">
        <f t="shared" si="6"/>
        <v>25000</v>
      </c>
      <c r="F14" s="6">
        <f t="shared" si="7"/>
        <v>25000</v>
      </c>
      <c r="G14" s="7">
        <f t="shared" si="16"/>
        <v>0</v>
      </c>
      <c r="H14" s="7">
        <f t="shared" si="17"/>
        <v>0</v>
      </c>
      <c r="I14" s="7">
        <f t="shared" si="18"/>
        <v>3750.0000000000005</v>
      </c>
      <c r="J14" s="15"/>
      <c r="K14" s="6">
        <f t="shared" si="19"/>
        <v>0</v>
      </c>
      <c r="L14" s="6">
        <f t="shared" si="10"/>
        <v>21250</v>
      </c>
      <c r="M14" s="6">
        <f t="shared" si="11"/>
        <v>212500</v>
      </c>
      <c r="N14" s="13">
        <f t="shared" si="3"/>
        <v>0.2</v>
      </c>
      <c r="O14" s="6">
        <f t="shared" si="12"/>
        <v>4250</v>
      </c>
      <c r="P14" s="6">
        <f>P13+O14</f>
        <v>37000</v>
      </c>
      <c r="Q14" s="6">
        <f>DATA!D30</f>
        <v>3400.4249999999993</v>
      </c>
      <c r="R14" s="13">
        <f t="shared" si="13"/>
        <v>849.57500000000073</v>
      </c>
      <c r="S14" s="6">
        <f>(E14-Asgari_Ücret_H2)*DATA!$B$7</f>
        <v>37.931025000000005</v>
      </c>
      <c r="T14" s="6">
        <f t="shared" si="20"/>
        <v>0</v>
      </c>
      <c r="U14" s="31">
        <f t="shared" si="5"/>
        <v>20362.493974999998</v>
      </c>
    </row>
    <row r="15" spans="1:25" x14ac:dyDescent="0.25">
      <c r="A15" t="s">
        <v>25</v>
      </c>
      <c r="B15" s="48" t="s">
        <v>33</v>
      </c>
      <c r="C15" s="51">
        <f t="shared" si="14"/>
        <v>25000</v>
      </c>
      <c r="D15" s="48"/>
      <c r="E15" s="6">
        <f t="shared" si="6"/>
        <v>25000</v>
      </c>
      <c r="F15" s="6">
        <f t="shared" si="7"/>
        <v>25000</v>
      </c>
      <c r="G15" s="7">
        <f t="shared" si="16"/>
        <v>0</v>
      </c>
      <c r="H15" s="7">
        <f t="shared" si="17"/>
        <v>0</v>
      </c>
      <c r="I15" s="7">
        <f t="shared" si="18"/>
        <v>3750.0000000000005</v>
      </c>
      <c r="J15" s="15"/>
      <c r="K15" s="6">
        <f t="shared" si="19"/>
        <v>0</v>
      </c>
      <c r="L15" s="6">
        <f t="shared" si="10"/>
        <v>21250</v>
      </c>
      <c r="M15" s="6">
        <f t="shared" si="11"/>
        <v>233750</v>
      </c>
      <c r="N15" s="13">
        <f t="shared" si="3"/>
        <v>0.27</v>
      </c>
      <c r="O15" s="6">
        <f t="shared" si="12"/>
        <v>4512.5</v>
      </c>
      <c r="P15" s="6">
        <f t="shared" si="15"/>
        <v>41512.5</v>
      </c>
      <c r="Q15" s="6">
        <f>DATA!D31</f>
        <v>3400.4250000000029</v>
      </c>
      <c r="R15" s="13">
        <f t="shared" si="13"/>
        <v>1112.0749999999971</v>
      </c>
      <c r="S15" s="6">
        <f>(E15-Asgari_Ücret_H2)*DATA!$B$7</f>
        <v>37.931025000000005</v>
      </c>
      <c r="T15" s="6">
        <f t="shared" si="20"/>
        <v>0</v>
      </c>
      <c r="U15" s="31">
        <f t="shared" si="5"/>
        <v>20099.993975000001</v>
      </c>
      <c r="V15" t="s">
        <v>54</v>
      </c>
    </row>
    <row r="16" spans="1:25" x14ac:dyDescent="0.25">
      <c r="A16" s="18" t="s">
        <v>26</v>
      </c>
      <c r="B16" s="49" t="s">
        <v>33</v>
      </c>
      <c r="C16" s="55">
        <f t="shared" si="14"/>
        <v>25000</v>
      </c>
      <c r="D16" s="49"/>
      <c r="E16" s="19">
        <f t="shared" si="6"/>
        <v>25000</v>
      </c>
      <c r="F16" s="19">
        <f t="shared" si="7"/>
        <v>25000</v>
      </c>
      <c r="G16" s="20">
        <f t="shared" si="16"/>
        <v>0</v>
      </c>
      <c r="H16" s="20">
        <f t="shared" si="17"/>
        <v>0</v>
      </c>
      <c r="I16" s="20">
        <f t="shared" si="18"/>
        <v>3750.0000000000005</v>
      </c>
      <c r="J16" s="21"/>
      <c r="K16" s="19">
        <f t="shared" si="19"/>
        <v>0</v>
      </c>
      <c r="L16" s="19">
        <f t="shared" si="10"/>
        <v>21250</v>
      </c>
      <c r="M16" s="19">
        <f t="shared" si="11"/>
        <v>255000</v>
      </c>
      <c r="N16" s="22">
        <f t="shared" si="3"/>
        <v>0.27</v>
      </c>
      <c r="O16" s="19">
        <f t="shared" si="12"/>
        <v>5737.5</v>
      </c>
      <c r="P16" s="19">
        <f>P15+O16</f>
        <v>47250</v>
      </c>
      <c r="Q16" s="19">
        <f>DATA!D32</f>
        <v>3400.4250000000029</v>
      </c>
      <c r="R16" s="22">
        <f t="shared" si="13"/>
        <v>2337.0749999999971</v>
      </c>
      <c r="S16" s="19">
        <f>(E16-Asgari_Ücret_H2)*DATA!$B$7</f>
        <v>37.931025000000005</v>
      </c>
      <c r="T16" s="19">
        <f t="shared" si="20"/>
        <v>0</v>
      </c>
      <c r="U16" s="32">
        <f t="shared" si="5"/>
        <v>18874.993975000001</v>
      </c>
      <c r="V16" s="54">
        <f>AVERAGE(U11:U16)</f>
        <v>20004.26689166667</v>
      </c>
      <c r="W16" s="14"/>
    </row>
    <row r="17" spans="1:21" ht="15.75" x14ac:dyDescent="0.25">
      <c r="C17" s="44">
        <f>SUM(C5:C16)</f>
        <v>300000</v>
      </c>
      <c r="E17" s="6"/>
      <c r="J17" s="17"/>
      <c r="K17" s="17"/>
      <c r="Q17" s="17"/>
      <c r="T17" s="29" t="s">
        <v>28</v>
      </c>
      <c r="U17" s="33">
        <f>SUM(U5:U16)</f>
        <v>242599.92769999991</v>
      </c>
    </row>
    <row r="18" spans="1:21" ht="15.75" x14ac:dyDescent="0.25">
      <c r="T18" s="29" t="s">
        <v>29</v>
      </c>
      <c r="U18" s="33">
        <f>U17/12</f>
        <v>20216.660641666658</v>
      </c>
    </row>
    <row r="20" spans="1:21" x14ac:dyDescent="0.25">
      <c r="A20" t="s">
        <v>35</v>
      </c>
      <c r="C20" s="42" t="s">
        <v>48</v>
      </c>
    </row>
    <row r="21" spans="1:21" x14ac:dyDescent="0.25">
      <c r="C21" s="42" t="s">
        <v>37</v>
      </c>
      <c r="D21"/>
    </row>
    <row r="22" spans="1:21" x14ac:dyDescent="0.25">
      <c r="C22" s="42" t="s">
        <v>38</v>
      </c>
      <c r="D22"/>
    </row>
    <row r="23" spans="1:21" x14ac:dyDescent="0.25">
      <c r="C23" s="42" t="s">
        <v>36</v>
      </c>
    </row>
    <row r="24" spans="1:21" x14ac:dyDescent="0.25">
      <c r="C24" s="42"/>
    </row>
  </sheetData>
  <autoFilter ref="A2:U5" xr:uid="{00000000-0009-0000-0000-000000000000}"/>
  <mergeCells count="1">
    <mergeCell ref="C1:U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E33"/>
  <sheetViews>
    <sheetView zoomScaleNormal="100" workbookViewId="0">
      <selection activeCell="B8" sqref="B8"/>
    </sheetView>
  </sheetViews>
  <sheetFormatPr defaultRowHeight="15" x14ac:dyDescent="0.25"/>
  <cols>
    <col min="1" max="1" width="15.85546875" customWidth="1"/>
    <col min="2" max="2" width="12.7109375" style="1" bestFit="1" customWidth="1"/>
    <col min="3" max="3" width="9.140625" style="1"/>
    <col min="5" max="5" width="11.42578125" customWidth="1"/>
    <col min="7" max="7" width="30.28515625" customWidth="1"/>
  </cols>
  <sheetData>
    <row r="1" spans="1:4" x14ac:dyDescent="0.25">
      <c r="A1" t="s">
        <v>0</v>
      </c>
      <c r="B1" s="2">
        <v>0.14000000000000001</v>
      </c>
    </row>
    <row r="2" spans="1:4" x14ac:dyDescent="0.25">
      <c r="A2" t="s">
        <v>8</v>
      </c>
      <c r="B2" s="11">
        <v>7.4999999999999997E-2</v>
      </c>
    </row>
    <row r="3" spans="1:4" x14ac:dyDescent="0.25">
      <c r="A3" t="s">
        <v>31</v>
      </c>
      <c r="B3" s="53">
        <v>100608.9</v>
      </c>
      <c r="C3" s="52" t="s">
        <v>55</v>
      </c>
    </row>
    <row r="4" spans="1:4" x14ac:dyDescent="0.25">
      <c r="A4" t="s">
        <v>52</v>
      </c>
      <c r="B4" s="53">
        <v>150018.9</v>
      </c>
      <c r="C4" s="52" t="s">
        <v>56</v>
      </c>
    </row>
    <row r="5" spans="1:4" x14ac:dyDescent="0.25">
      <c r="A5" t="s">
        <v>51</v>
      </c>
      <c r="B5" s="53">
        <v>150018.9</v>
      </c>
      <c r="C5" s="52" t="s">
        <v>57</v>
      </c>
    </row>
    <row r="6" spans="1:4" x14ac:dyDescent="0.25">
      <c r="A6" t="s">
        <v>1</v>
      </c>
      <c r="B6" s="2">
        <v>0.01</v>
      </c>
    </row>
    <row r="7" spans="1:4" x14ac:dyDescent="0.25">
      <c r="A7" t="s">
        <v>2</v>
      </c>
      <c r="B7" s="3">
        <v>7.5900000000000004E-3</v>
      </c>
    </row>
    <row r="8" spans="1:4" x14ac:dyDescent="0.25">
      <c r="A8" t="s">
        <v>49</v>
      </c>
      <c r="B8" s="53">
        <v>20002.5</v>
      </c>
    </row>
    <row r="9" spans="1:4" x14ac:dyDescent="0.25">
      <c r="A9" t="s">
        <v>50</v>
      </c>
      <c r="B9" s="53">
        <v>20002.5</v>
      </c>
    </row>
    <row r="10" spans="1:4" ht="15.75" thickBot="1" x14ac:dyDescent="0.3"/>
    <row r="11" spans="1:4" ht="15.75" thickBot="1" x14ac:dyDescent="0.3">
      <c r="A11" s="73" t="s">
        <v>58</v>
      </c>
      <c r="B11" s="74"/>
      <c r="C11" s="74"/>
      <c r="D11" s="75"/>
    </row>
    <row r="12" spans="1:4" x14ac:dyDescent="0.25">
      <c r="A12" s="34" t="s">
        <v>3</v>
      </c>
      <c r="B12" s="35" t="s">
        <v>4</v>
      </c>
      <c r="C12" s="35"/>
      <c r="D12" s="36"/>
    </row>
    <row r="13" spans="1:4" x14ac:dyDescent="0.25">
      <c r="A13" s="5">
        <v>0</v>
      </c>
      <c r="B13" s="16">
        <v>110000</v>
      </c>
      <c r="C13" s="40">
        <v>0.15</v>
      </c>
      <c r="D13" s="4">
        <v>0</v>
      </c>
    </row>
    <row r="14" spans="1:4" x14ac:dyDescent="0.25">
      <c r="A14" s="5">
        <f>B13</f>
        <v>110000</v>
      </c>
      <c r="B14" s="16">
        <v>230000</v>
      </c>
      <c r="C14" s="40">
        <v>0.2</v>
      </c>
      <c r="D14" s="37">
        <v>16500</v>
      </c>
    </row>
    <row r="15" spans="1:4" x14ac:dyDescent="0.25">
      <c r="A15" s="5">
        <f>B14</f>
        <v>230000</v>
      </c>
      <c r="B15" s="16">
        <v>870000</v>
      </c>
      <c r="C15" s="40">
        <v>0.27</v>
      </c>
      <c r="D15" s="37">
        <v>40500</v>
      </c>
    </row>
    <row r="16" spans="1:4" x14ac:dyDescent="0.25">
      <c r="A16" s="5">
        <f>B15</f>
        <v>870000</v>
      </c>
      <c r="B16" s="16">
        <v>3000000</v>
      </c>
      <c r="C16" s="40">
        <v>0.35</v>
      </c>
      <c r="D16" s="37">
        <v>213300</v>
      </c>
    </row>
    <row r="17" spans="1:5" ht="15.75" thickBot="1" x14ac:dyDescent="0.3">
      <c r="A17" s="43">
        <f>B16</f>
        <v>3000000</v>
      </c>
      <c r="B17" s="39">
        <v>100000000</v>
      </c>
      <c r="C17" s="41">
        <v>0.4</v>
      </c>
      <c r="D17" s="38">
        <v>958800</v>
      </c>
    </row>
    <row r="20" spans="1:5" ht="45" x14ac:dyDescent="0.25">
      <c r="A20" s="56" t="s">
        <v>59</v>
      </c>
      <c r="B20" s="9" t="s">
        <v>41</v>
      </c>
      <c r="C20" s="9" t="s">
        <v>42</v>
      </c>
      <c r="D20" s="9" t="s">
        <v>43</v>
      </c>
      <c r="E20" s="9" t="s">
        <v>44</v>
      </c>
    </row>
    <row r="21" spans="1:5" x14ac:dyDescent="0.25">
      <c r="A21" s="57" t="s">
        <v>15</v>
      </c>
      <c r="B21" s="63">
        <f>Asgari_Ücret_H1*(1-(SGK+Issizlik))</f>
        <v>17002.125</v>
      </c>
      <c r="C21" s="66">
        <f t="shared" ref="C21:C32" si="0">VLOOKUP(B21,GV_Dilimleri,3,TRUE)</f>
        <v>0.15</v>
      </c>
      <c r="D21" s="69">
        <f>VLOOKUP(B21,GV_Dilimleri,4,TRUE)+(B21-VLOOKUP(B21,GV_Dilimleri,1,TRUE))*VLOOKUP(B21,GV_Dilimleri,3,TRUE)</f>
        <v>2550.3187499999999</v>
      </c>
      <c r="E21" s="58">
        <f>D21</f>
        <v>2550.3187499999999</v>
      </c>
    </row>
    <row r="22" spans="1:5" x14ac:dyDescent="0.25">
      <c r="A22" s="59" t="s">
        <v>16</v>
      </c>
      <c r="B22" s="64">
        <f t="shared" ref="B22:B26" si="1">Asgari_Ücret_H1*(1-(SGK+Issizlik))+B21</f>
        <v>34004.25</v>
      </c>
      <c r="C22" s="67">
        <f t="shared" si="0"/>
        <v>0.15</v>
      </c>
      <c r="D22" s="70">
        <f t="shared" ref="D22:D32" si="2">VLOOKUP(B22,GV_Dilimleri,4,TRUE)+(B22-VLOOKUP(B22,GV_Dilimleri,1,TRUE))*VLOOKUP(B22,GV_Dilimleri,3,TRUE)-E21</f>
        <v>2550.3187499999999</v>
      </c>
      <c r="E22" s="60">
        <f>E21+D22</f>
        <v>5100.6374999999998</v>
      </c>
    </row>
    <row r="23" spans="1:5" x14ac:dyDescent="0.25">
      <c r="A23" s="59" t="s">
        <v>17</v>
      </c>
      <c r="B23" s="64">
        <f t="shared" si="1"/>
        <v>51006.375</v>
      </c>
      <c r="C23" s="67">
        <f t="shared" si="0"/>
        <v>0.15</v>
      </c>
      <c r="D23" s="70">
        <f t="shared" si="2"/>
        <v>2550.3187499999995</v>
      </c>
      <c r="E23" s="60">
        <f t="shared" ref="E23:E32" si="3">E22+D23</f>
        <v>7650.9562499999993</v>
      </c>
    </row>
    <row r="24" spans="1:5" x14ac:dyDescent="0.25">
      <c r="A24" s="59" t="s">
        <v>18</v>
      </c>
      <c r="B24" s="64">
        <f t="shared" si="1"/>
        <v>68008.5</v>
      </c>
      <c r="C24" s="67">
        <f t="shared" si="0"/>
        <v>0.15</v>
      </c>
      <c r="D24" s="70">
        <f t="shared" si="2"/>
        <v>2550.3187500000004</v>
      </c>
      <c r="E24" s="60">
        <f t="shared" si="3"/>
        <v>10201.275</v>
      </c>
    </row>
    <row r="25" spans="1:5" x14ac:dyDescent="0.25">
      <c r="A25" s="59" t="s">
        <v>19</v>
      </c>
      <c r="B25" s="64">
        <f t="shared" si="1"/>
        <v>85010.625</v>
      </c>
      <c r="C25" s="67">
        <f t="shared" si="0"/>
        <v>0.15</v>
      </c>
      <c r="D25" s="70">
        <f t="shared" si="2"/>
        <v>2550.3187500000004</v>
      </c>
      <c r="E25" s="60">
        <f t="shared" si="3"/>
        <v>12751.59375</v>
      </c>
    </row>
    <row r="26" spans="1:5" x14ac:dyDescent="0.25">
      <c r="A26" s="59" t="s">
        <v>20</v>
      </c>
      <c r="B26" s="64">
        <f t="shared" si="1"/>
        <v>102012.75</v>
      </c>
      <c r="C26" s="67">
        <f t="shared" si="0"/>
        <v>0.15</v>
      </c>
      <c r="D26" s="70">
        <f t="shared" si="2"/>
        <v>2550.3187499999985</v>
      </c>
      <c r="E26" s="60">
        <f t="shared" si="3"/>
        <v>15301.912499999999</v>
      </c>
    </row>
    <row r="27" spans="1:5" x14ac:dyDescent="0.25">
      <c r="A27" s="59" t="s">
        <v>21</v>
      </c>
      <c r="B27" s="64">
        <f t="shared" ref="B27:B32" si="4">Asgari_Ücret_H2*(1-(SGK+Issizlik))+B26</f>
        <v>119014.875</v>
      </c>
      <c r="C27" s="67">
        <f t="shared" si="0"/>
        <v>0.2</v>
      </c>
      <c r="D27" s="70">
        <f t="shared" si="2"/>
        <v>3001.0625</v>
      </c>
      <c r="E27" s="60">
        <f t="shared" si="3"/>
        <v>18302.974999999999</v>
      </c>
    </row>
    <row r="28" spans="1:5" x14ac:dyDescent="0.25">
      <c r="A28" s="59" t="s">
        <v>22</v>
      </c>
      <c r="B28" s="64">
        <f t="shared" si="4"/>
        <v>136017</v>
      </c>
      <c r="C28" s="67">
        <f t="shared" si="0"/>
        <v>0.2</v>
      </c>
      <c r="D28" s="70">
        <f t="shared" si="2"/>
        <v>3400.4250000000029</v>
      </c>
      <c r="E28" s="60">
        <f t="shared" si="3"/>
        <v>21703.4</v>
      </c>
    </row>
    <row r="29" spans="1:5" x14ac:dyDescent="0.25">
      <c r="A29" s="59" t="s">
        <v>23</v>
      </c>
      <c r="B29" s="64">
        <f t="shared" si="4"/>
        <v>153019.125</v>
      </c>
      <c r="C29" s="67">
        <f t="shared" si="0"/>
        <v>0.2</v>
      </c>
      <c r="D29" s="70">
        <f t="shared" si="2"/>
        <v>3400.4249999999993</v>
      </c>
      <c r="E29" s="60">
        <f t="shared" si="3"/>
        <v>25103.825000000001</v>
      </c>
    </row>
    <row r="30" spans="1:5" x14ac:dyDescent="0.25">
      <c r="A30" s="59" t="s">
        <v>24</v>
      </c>
      <c r="B30" s="64">
        <f t="shared" si="4"/>
        <v>170021.25</v>
      </c>
      <c r="C30" s="67">
        <f t="shared" si="0"/>
        <v>0.2</v>
      </c>
      <c r="D30" s="70">
        <f t="shared" si="2"/>
        <v>3400.4249999999993</v>
      </c>
      <c r="E30" s="60">
        <f t="shared" si="3"/>
        <v>28504.25</v>
      </c>
    </row>
    <row r="31" spans="1:5" x14ac:dyDescent="0.25">
      <c r="A31" s="59" t="s">
        <v>25</v>
      </c>
      <c r="B31" s="64">
        <f t="shared" si="4"/>
        <v>187023.375</v>
      </c>
      <c r="C31" s="67">
        <f t="shared" si="0"/>
        <v>0.2</v>
      </c>
      <c r="D31" s="70">
        <f t="shared" si="2"/>
        <v>3400.4250000000029</v>
      </c>
      <c r="E31" s="60">
        <f t="shared" si="3"/>
        <v>31904.675000000003</v>
      </c>
    </row>
    <row r="32" spans="1:5" x14ac:dyDescent="0.25">
      <c r="A32" s="61" t="s">
        <v>26</v>
      </c>
      <c r="B32" s="65">
        <f t="shared" si="4"/>
        <v>204025.5</v>
      </c>
      <c r="C32" s="68">
        <f t="shared" si="0"/>
        <v>0.2</v>
      </c>
      <c r="D32" s="71">
        <f t="shared" si="2"/>
        <v>3400.4250000000029</v>
      </c>
      <c r="E32" s="62">
        <f t="shared" si="3"/>
        <v>35305.100000000006</v>
      </c>
    </row>
    <row r="33" spans="4:4" x14ac:dyDescent="0.25">
      <c r="D33">
        <f>SUM(D21:D32)</f>
        <v>35305.100000000006</v>
      </c>
    </row>
  </sheetData>
  <mergeCells count="1"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10</vt:i4>
      </vt:variant>
    </vt:vector>
  </HeadingPairs>
  <TitlesOfParts>
    <vt:vector size="12" baseType="lpstr">
      <vt:lpstr>2024</vt:lpstr>
      <vt:lpstr>DATA</vt:lpstr>
      <vt:lpstr>Asgari_Ücret_H1</vt:lpstr>
      <vt:lpstr>Asgari_Ücret_H2</vt:lpstr>
      <vt:lpstr>DV</vt:lpstr>
      <vt:lpstr>GV_Dilimleri</vt:lpstr>
      <vt:lpstr>Issizlik</vt:lpstr>
      <vt:lpstr>SGK</vt:lpstr>
      <vt:lpstr>SGK_emk</vt:lpstr>
      <vt:lpstr>SGK_tv_H1</vt:lpstr>
      <vt:lpstr>SGK_tv_H2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Övünç Buke</dc:creator>
  <cp:lastModifiedBy>Övünç Büke</cp:lastModifiedBy>
  <dcterms:created xsi:type="dcterms:W3CDTF">2006-09-16T00:00:00Z</dcterms:created>
  <dcterms:modified xsi:type="dcterms:W3CDTF">2024-01-04T05:42:42Z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